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915" firstSheet="2" activeTab="2"/>
  </bookViews>
  <sheets>
    <sheet name="Invoerensolo" sheetId="1" state="hidden" r:id="rId1"/>
    <sheet name="Startlijst solo" sheetId="2" state="hidden" r:id="rId2"/>
    <sheet name="Uitslag solo" sheetId="3" r:id="rId3"/>
    <sheet name="VUFormSolo" sheetId="4" state="hidden" r:id="rId4"/>
    <sheet name="Invoerenduet" sheetId="5" state="hidden" r:id="rId5"/>
    <sheet name="Startlijst duet" sheetId="6" state="hidden" r:id="rId6"/>
    <sheet name="Uitslag duet" sheetId="7" r:id="rId7"/>
    <sheet name="VUFormDuet" sheetId="8" state="hidden" r:id="rId8"/>
    <sheet name="Invoerenploeg" sheetId="9" state="hidden" r:id="rId9"/>
    <sheet name="Startlijst ploeg" sheetId="10" state="hidden" r:id="rId10"/>
    <sheet name="Uitslag ploeg" sheetId="11" r:id="rId11"/>
    <sheet name="VUFormPloeg" sheetId="12" state="hidden" r:id="rId12"/>
    <sheet name="UitslagFig" sheetId="13" state="hidden" r:id="rId13"/>
    <sheet name="Blad1" sheetId="14" state="hidden" r:id="rId14"/>
  </sheets>
  <externalReferences>
    <externalReference r:id="rId17"/>
    <externalReference r:id="rId18"/>
  </externalReferences>
  <definedNames>
    <definedName name="_xlnm.Print_Area" localSheetId="5">'Startlijst duet'!$A$1:$P$31</definedName>
    <definedName name="_xlnm.Print_Area" localSheetId="9">'Startlijst ploeg'!$A$1:$P$42</definedName>
    <definedName name="_xlnm.Print_Area" localSheetId="1">'Startlijst solo'!$A$1:$P$30</definedName>
    <definedName name="_xlnm.Print_Area" localSheetId="6">'Uitslag duet'!$A$1:$P$248</definedName>
    <definedName name="_xlnm.Print_Area" localSheetId="10">'Uitslag ploeg'!$A$1:$P$79</definedName>
    <definedName name="_xlnm.Print_Area" localSheetId="2">'Uitslag solo'!$A$1:$P$248</definedName>
    <definedName name="_xlnm.Print_Area" localSheetId="7">'VUFormDuet'!$A$1:$Q$42</definedName>
    <definedName name="_xlnm.Print_Area" localSheetId="11">'VUFormPloeg'!$A$1:$Q$42</definedName>
    <definedName name="_xlnm.Print_Area" localSheetId="3">'VUFormSolo'!$A$1:$Q$42</definedName>
    <definedName name="_xlnm.Print_Titles" localSheetId="5">'Startlijst duet'!$4:$8</definedName>
    <definedName name="_xlnm.Print_Titles" localSheetId="9">'Startlijst ploeg'!$1:$6</definedName>
    <definedName name="_xlnm.Print_Titles" localSheetId="1">'Startlijst solo'!$4:$8</definedName>
    <definedName name="_xlnm.Print_Titles" localSheetId="6">'Uitslag duet'!$4:$6</definedName>
    <definedName name="_xlnm.Print_Titles" localSheetId="10">'Uitslag ploeg'!$1:$6</definedName>
    <definedName name="_xlnm.Print_Titles" localSheetId="2">'Uitslag solo'!$4:$6</definedName>
    <definedName name="age_group">'[1]gegevens en namen'!$F$10</definedName>
    <definedName name="Excel_BuiltIn__FilterDatabase" localSheetId="4">'Invoerenduet'!$A$1:$BT$29</definedName>
    <definedName name="Excel_BuiltIn__FilterDatabase" localSheetId="8">'Invoerenploeg'!$A$1:$BH$24</definedName>
    <definedName name="Excel_BuiltIn__FilterDatabase" localSheetId="0">'Invoerensolo'!$A$1:$BO$29</definedName>
    <definedName name="Excel_BuiltIn__FilterDatabase" localSheetId="12">'UitslagFig'!$A$4:$K$92</definedName>
    <definedName name="Excel_BuiltIn_Print_Area" localSheetId="5">'Startlijst duet'!$B$1:$Q$248</definedName>
    <definedName name="Excel_BuiltIn_Print_Area" localSheetId="9">'Startlijst ploeg'!$B$1:$Q$79</definedName>
    <definedName name="Excel_BuiltIn_Print_Area" localSheetId="1">'Startlijst solo'!$B$1:$Q$248</definedName>
    <definedName name="Excel_BuiltIn_Print_Titles" localSheetId="5">'Startlijst duet'!$B$4:$IV$8</definedName>
    <definedName name="Excel_BuiltIn_Print_Titles" localSheetId="9">'Startlijst ploeg'!$B$1:$IV$6</definedName>
    <definedName name="Excel_BuiltIn_Print_Titles" localSheetId="1">'Startlijst solo'!$B$4:$IV$8</definedName>
    <definedName name="Wedstrijdgegevens">'[1]gegevens en namen'!$F$4</definedName>
  </definedNames>
  <calcPr fullCalcOnLoad="1"/>
</workbook>
</file>

<file path=xl/sharedStrings.xml><?xml version="1.0" encoding="utf-8"?>
<sst xmlns="http://schemas.openxmlformats.org/spreadsheetml/2006/main" count="3500" uniqueCount="387">
  <si>
    <t>% figuren</t>
  </si>
  <si>
    <t>Aantal deelnemers</t>
  </si>
  <si>
    <t>x</t>
  </si>
  <si>
    <t>% uitvoeringen</t>
  </si>
  <si>
    <t>afm</t>
  </si>
  <si>
    <t>Uitvoering</t>
  </si>
  <si>
    <t>Impressie</t>
  </si>
  <si>
    <t>Moeilijkheid</t>
  </si>
  <si>
    <t>SOLO</t>
  </si>
  <si>
    <t>% T.Uitvoeringen</t>
  </si>
  <si>
    <t>Meisje 1</t>
  </si>
  <si>
    <t>Meisje 2</t>
  </si>
  <si>
    <t>res</t>
  </si>
  <si>
    <t>Invullen</t>
  </si>
  <si>
    <t>Resultaat</t>
  </si>
  <si>
    <t>St. nr.</t>
  </si>
  <si>
    <t>Rank.</t>
  </si>
  <si>
    <t>Totaal</t>
  </si>
  <si>
    <t>Vereniging</t>
  </si>
  <si>
    <t>Muziek</t>
  </si>
  <si>
    <t>Samenstelling</t>
  </si>
  <si>
    <t>Naam meisje 1</t>
  </si>
  <si>
    <t>Start nr. 1</t>
  </si>
  <si>
    <t>Zwemt 1</t>
  </si>
  <si>
    <t>Naam meisje 2</t>
  </si>
  <si>
    <t>Start nr. 2</t>
  </si>
  <si>
    <t>Zwemt 2</t>
  </si>
  <si>
    <t>Regio</t>
  </si>
  <si>
    <t>BM</t>
  </si>
  <si>
    <t>Punt. T.U.</t>
  </si>
  <si>
    <t>Rank. T.U.</t>
  </si>
  <si>
    <t>Punt uitv.</t>
  </si>
  <si>
    <t>Rank uitv.</t>
  </si>
  <si>
    <t>St. 1</t>
  </si>
  <si>
    <t>St. 2</t>
  </si>
  <si>
    <t>St. 3</t>
  </si>
  <si>
    <t>St. 4</t>
  </si>
  <si>
    <t>St. 5</t>
  </si>
  <si>
    <t>3 van 5</t>
  </si>
  <si>
    <t>Tot. Uitv.</t>
  </si>
  <si>
    <t>Rank. Uitv.</t>
  </si>
  <si>
    <t>Tot. TW</t>
  </si>
  <si>
    <t>Rank. Imp</t>
  </si>
  <si>
    <t>Tot. AW</t>
  </si>
  <si>
    <t>Rank. AW</t>
  </si>
  <si>
    <t>Str. Pnt.</t>
  </si>
  <si>
    <t>Totaal str. P.</t>
  </si>
  <si>
    <t>Tot uitv.</t>
  </si>
  <si>
    <t>Eind- totaal</t>
  </si>
  <si>
    <t>Techn Punt. Meisje1</t>
  </si>
  <si>
    <t>Techn Punt. Meisje 2</t>
  </si>
  <si>
    <t>Som</t>
  </si>
  <si>
    <t>Gem.</t>
  </si>
  <si>
    <t>Rang Fig. Zwemsters</t>
  </si>
  <si>
    <t>Aantal meisjes</t>
  </si>
  <si>
    <t>Hoogst gem.</t>
  </si>
  <si>
    <t>Rang fig</t>
  </si>
  <si>
    <t>Growing up</t>
  </si>
  <si>
    <t>ZVB</t>
  </si>
  <si>
    <t>Helele</t>
  </si>
  <si>
    <t>Spio Synchro</t>
  </si>
  <si>
    <t>X</t>
  </si>
  <si>
    <t>Hasta Que Salga el Sol</t>
  </si>
  <si>
    <t>Evelien Wolfs</t>
  </si>
  <si>
    <t xml:space="preserve"> </t>
  </si>
  <si>
    <t>LSZK-A</t>
  </si>
  <si>
    <t>Datum:</t>
  </si>
  <si>
    <t>Organisatie:  SPIO Venray</t>
  </si>
  <si>
    <t>Zwembad: De Sprank te Venray</t>
  </si>
  <si>
    <t>Aanvang:</t>
  </si>
  <si>
    <t>13.30 uur</t>
  </si>
  <si>
    <t>Solo:</t>
  </si>
  <si>
    <t>Age I</t>
  </si>
  <si>
    <t>STARTVOLGORDE SOLI</t>
  </si>
  <si>
    <t>Str.</t>
  </si>
  <si>
    <t xml:space="preserve">K.N.Z.B. </t>
  </si>
  <si>
    <t>Dln.</t>
  </si>
  <si>
    <t>Namen</t>
  </si>
  <si>
    <t>Startnr.</t>
  </si>
  <si>
    <t>U.S</t>
  </si>
  <si>
    <t>Fig.</t>
  </si>
  <si>
    <t>%</t>
  </si>
  <si>
    <t>A.I.</t>
  </si>
  <si>
    <t>T.U.</t>
  </si>
  <si>
    <t>M.</t>
  </si>
  <si>
    <t>Strafpunt</t>
  </si>
  <si>
    <t>-</t>
  </si>
  <si>
    <t>Muziek :</t>
  </si>
  <si>
    <t>Vrije Uitvoering</t>
  </si>
  <si>
    <t>Samenstelling :</t>
  </si>
  <si>
    <t>UITSLAGEN SOLISTEN</t>
  </si>
  <si>
    <t>Pla</t>
  </si>
  <si>
    <t>RaF</t>
  </si>
  <si>
    <t>Dln</t>
  </si>
  <si>
    <t>RaU</t>
  </si>
  <si>
    <t>V.U.</t>
  </si>
  <si>
    <t>Koninklijke Nederlandse Zwembond</t>
  </si>
  <si>
    <t xml:space="preserve">Formulier voor vrije uitvoering  </t>
  </si>
  <si>
    <t>Startvolgorde</t>
  </si>
  <si>
    <t>Evenement:</t>
  </si>
  <si>
    <t>Voorronde</t>
  </si>
  <si>
    <t>Plaats:</t>
  </si>
  <si>
    <t>Finale</t>
  </si>
  <si>
    <t>Solo</t>
  </si>
  <si>
    <t>Age II</t>
  </si>
  <si>
    <t>Vereniging:</t>
  </si>
  <si>
    <t>Duet</t>
  </si>
  <si>
    <t>Afkorting:</t>
  </si>
  <si>
    <t>Regio:</t>
  </si>
  <si>
    <t>Ploeg</t>
  </si>
  <si>
    <t>Muziek:</t>
  </si>
  <si>
    <t>Vrije Comb.</t>
  </si>
  <si>
    <t>Samenstelling:</t>
  </si>
  <si>
    <t>Highlight Uitv.</t>
  </si>
  <si>
    <t>nr.</t>
  </si>
  <si>
    <t>Naam</t>
  </si>
  <si>
    <t>KNZB-startnr</t>
  </si>
  <si>
    <t>resultaat figuren</t>
  </si>
  <si>
    <t>Werkelijke deeln.</t>
  </si>
  <si>
    <t>Deelnemers</t>
  </si>
  <si>
    <t>Totaal resultaat figuren deelnemers uitvoering</t>
  </si>
  <si>
    <t xml:space="preserve">Resultaat figuren </t>
  </si>
  <si>
    <t xml:space="preserve">Uitslag techn. uitvoering </t>
  </si>
  <si>
    <t>Vrije uitvoering</t>
  </si>
  <si>
    <t>jury 1</t>
  </si>
  <si>
    <t>jury 2</t>
  </si>
  <si>
    <t>jury 3</t>
  </si>
  <si>
    <t>jury 4</t>
  </si>
  <si>
    <t>jury 5</t>
  </si>
  <si>
    <t>Totaal -ho/la</t>
  </si>
  <si>
    <t>Gem. delen door aantal juryleden</t>
  </si>
  <si>
    <t>x factor</t>
  </si>
  <si>
    <t>Uitvoering Synchronisatie</t>
  </si>
  <si>
    <r>
      <t>Artistieke impressie (</t>
    </r>
    <r>
      <rPr>
        <sz val="8"/>
        <color indexed="8"/>
        <rFont val="Arial"/>
        <family val="2"/>
      </rPr>
      <t>chor., muziekint, pres.)</t>
    </r>
  </si>
  <si>
    <t>aftrek en straffen</t>
  </si>
  <si>
    <t>aantal deelnemers ploeg</t>
  </si>
  <si>
    <t>aftrek bij onvolledige ploeg</t>
  </si>
  <si>
    <t>oploop tijd</t>
  </si>
  <si>
    <t>duur kantb.</t>
  </si>
  <si>
    <t>duur van de uitvoering</t>
  </si>
  <si>
    <t xml:space="preserve">18.2.1-3 tijdstraffen  </t>
  </si>
  <si>
    <t>18.2.4-6    overig</t>
  </si>
  <si>
    <t>18.2.7 bodem (assist)</t>
  </si>
  <si>
    <t>18.2.8    herbegin</t>
  </si>
  <si>
    <t>18.2.9 pyramides enz.</t>
  </si>
  <si>
    <t>-1,0</t>
  </si>
  <si>
    <t>-2,0</t>
  </si>
  <si>
    <t xml:space="preserve">Uitslag vrije uitvoering </t>
  </si>
  <si>
    <t>Scheidsrechter / chef Jury</t>
  </si>
  <si>
    <t xml:space="preserve">Eindresultaat </t>
  </si>
  <si>
    <t xml:space="preserve">Plaatsing </t>
  </si>
  <si>
    <t>© KNZB 01-01-2014</t>
  </si>
  <si>
    <t>Meisje 3</t>
  </si>
  <si>
    <t>Naam meisje 3</t>
  </si>
  <si>
    <t>Start nr. 3</t>
  </si>
  <si>
    <t>Zwemt 3</t>
  </si>
  <si>
    <t>Pnt.   Meisje 1</t>
  </si>
  <si>
    <t>Pnt.   Meisje 2</t>
  </si>
  <si>
    <t>Pnt.   Meisje 3</t>
  </si>
  <si>
    <t>Techn Punt. meisje 1</t>
  </si>
  <si>
    <t>Techn Punt. meisje 2</t>
  </si>
  <si>
    <t>Techn Punt. Meisje 3</t>
  </si>
  <si>
    <t>One Direction</t>
  </si>
  <si>
    <t>Res</t>
  </si>
  <si>
    <t>Caramba</t>
  </si>
  <si>
    <t>Synchroteam Hellas Glana</t>
  </si>
  <si>
    <t>Limbo</t>
  </si>
  <si>
    <t>Duet:</t>
  </si>
  <si>
    <t>STARTVOLGORDE DUET</t>
  </si>
  <si>
    <t>UITSLAGEN DUETTEN</t>
  </si>
  <si>
    <t>Resultaat beste 2</t>
  </si>
  <si>
    <t xml:space="preserve">Gemiddeld resultaat figuren </t>
  </si>
  <si>
    <t>Artistieke Impressie</t>
  </si>
  <si>
    <t>Strafpunten</t>
  </si>
  <si>
    <t>Meisje 4</t>
  </si>
  <si>
    <t>Meisje 5</t>
  </si>
  <si>
    <t>Meisje 6</t>
  </si>
  <si>
    <t>Meisje 7</t>
  </si>
  <si>
    <t>Meisje 8</t>
  </si>
  <si>
    <t>Meisje 9</t>
  </si>
  <si>
    <t>Meisje 10</t>
  </si>
  <si>
    <t>Aant. Meisjes</t>
  </si>
  <si>
    <t>Rank. Fig</t>
  </si>
  <si>
    <t>Start nr.</t>
  </si>
  <si>
    <t>Zwemt</t>
  </si>
  <si>
    <t>Techn Punt. Meisje 1</t>
  </si>
  <si>
    <t>Techn Punt. Meisje 4</t>
  </si>
  <si>
    <t>Techn Punt. Meisje 5</t>
  </si>
  <si>
    <t>Techn Punt. Meisje 6</t>
  </si>
  <si>
    <t>Techn Punt. Meisje 7</t>
  </si>
  <si>
    <t>Techn Punt. Meisje 8</t>
  </si>
  <si>
    <t>Techn Punt. Meisje 9</t>
  </si>
  <si>
    <t>Techn Punt. Meisje 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</si>
  <si>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</si>
  <si>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</si>
  <si>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</si>
  <si>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</si>
  <si>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</si>
  <si>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</si>
  <si>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</si>
  <si>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</si>
  <si>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</si>
  <si>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</si>
  <si>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Gemidd. Zwemsters</t>
  </si>
  <si>
    <t>E-mail adressen</t>
  </si>
  <si>
    <t>Red Hot</t>
  </si>
  <si>
    <t>Sophie en Mieke</t>
  </si>
  <si>
    <t>Beggin'</t>
  </si>
  <si>
    <t>Madagascar</t>
  </si>
  <si>
    <t>Ploeg:</t>
  </si>
  <si>
    <t>STARTVOLGORDE Ploegen</t>
  </si>
  <si>
    <t>UITSLAGEN PLOEGEN</t>
  </si>
  <si>
    <t>Categorie</t>
  </si>
  <si>
    <t>UITSLAG FIGUREN</t>
  </si>
  <si>
    <t>Jun.</t>
  </si>
  <si>
    <t>KNZB</t>
  </si>
  <si>
    <t>Plaatsing</t>
  </si>
  <si>
    <t>Plaats</t>
  </si>
  <si>
    <t>st.nr.</t>
  </si>
  <si>
    <t>Startnummer</t>
  </si>
  <si>
    <t>Pr.</t>
  </si>
  <si>
    <t>Lim</t>
  </si>
  <si>
    <t>Dipl</t>
  </si>
  <si>
    <t>TOTAAL</t>
  </si>
  <si>
    <t>Fig. 1</t>
  </si>
  <si>
    <t>Fig. 2</t>
  </si>
  <si>
    <t>Fig. 3</t>
  </si>
  <si>
    <t>Fig. 4</t>
  </si>
  <si>
    <t>Abigail Vievermanns</t>
  </si>
  <si>
    <t>ZV Brunssum</t>
  </si>
  <si>
    <t>Limburg</t>
  </si>
  <si>
    <t>Chiara Boots</t>
  </si>
  <si>
    <t>Joy Elferink</t>
  </si>
  <si>
    <t>Rachel Hochstenbach</t>
  </si>
  <si>
    <t>Anne Willems</t>
  </si>
  <si>
    <t>ZC Eijsden</t>
  </si>
  <si>
    <t>Jill Mourmans</t>
  </si>
  <si>
    <t>Myrthe Huysmans</t>
  </si>
  <si>
    <t>Brechje Brauer</t>
  </si>
  <si>
    <t>SPIO Venray</t>
  </si>
  <si>
    <t>Denise Hendrix</t>
  </si>
  <si>
    <t>Elke Francken</t>
  </si>
  <si>
    <t>Neri Euwes</t>
  </si>
  <si>
    <t>Sanne Havens</t>
  </si>
  <si>
    <t>Vera Andriessen</t>
  </si>
  <si>
    <t>Femke Westheim</t>
  </si>
  <si>
    <t>HZPC Horst</t>
  </si>
  <si>
    <t>Iris van Bavel</t>
  </si>
  <si>
    <t>Marit Smits</t>
  </si>
  <si>
    <t>Niamh Rutten</t>
  </si>
  <si>
    <t>Debbie Geilen</t>
  </si>
  <si>
    <t>Hellas-Glana</t>
  </si>
  <si>
    <t>Sarah Molensky</t>
  </si>
  <si>
    <t>Alice  Winkelmolen</t>
  </si>
  <si>
    <t>ZPC Nederweert</t>
  </si>
  <si>
    <t>Alishia Samulski</t>
  </si>
  <si>
    <t>Amber  Teeuwen</t>
  </si>
  <si>
    <t>Angela Kozak</t>
  </si>
  <si>
    <t>Anna van Gils</t>
  </si>
  <si>
    <t>Anne  Gähler</t>
  </si>
  <si>
    <t>Anne Ebben</t>
  </si>
  <si>
    <t>Anne Oudenhoven</t>
  </si>
  <si>
    <t>Anoek  Aertssen</t>
  </si>
  <si>
    <t>Anouk Brand</t>
  </si>
  <si>
    <t>De Dolfijn</t>
  </si>
  <si>
    <t>Arwen Pijpers</t>
  </si>
  <si>
    <t>Aura Bezemer</t>
  </si>
  <si>
    <t>Aylin Snellen</t>
  </si>
  <si>
    <t xml:space="preserve">Carlijn de Munck  </t>
  </si>
  <si>
    <t>Carmen  Brauer</t>
  </si>
  <si>
    <t>Celine Hendriks</t>
  </si>
  <si>
    <t>Chantal Poels</t>
  </si>
  <si>
    <t>Chloë Lamers</t>
  </si>
  <si>
    <t>Christel Derks</t>
  </si>
  <si>
    <t>Dana  Scheerman</t>
  </si>
  <si>
    <t xml:space="preserve">Daniek  de Leeuw </t>
  </si>
  <si>
    <t>Danique Vliegen</t>
  </si>
  <si>
    <t>Daphne van Heek</t>
  </si>
  <si>
    <t>Dayenne Ramsche</t>
  </si>
  <si>
    <t>Denise van de Schoor</t>
  </si>
  <si>
    <t>Dian Janssen</t>
  </si>
  <si>
    <t>Dian Nijs</t>
  </si>
  <si>
    <t>Dilara Yugnuk</t>
  </si>
  <si>
    <t>Dorotea Dujmovic</t>
  </si>
  <si>
    <t>Eefje Crutzen</t>
  </si>
  <si>
    <t>Elina Geurts</t>
  </si>
  <si>
    <t>Eline Schurer</t>
  </si>
  <si>
    <t>Eline Simons</t>
  </si>
  <si>
    <t>Ellen  Lucassen</t>
  </si>
  <si>
    <t>Ellen Schobben</t>
  </si>
  <si>
    <t>Emma Jacobs</t>
  </si>
  <si>
    <t>Ester de Win</t>
  </si>
  <si>
    <t>Eveline Walraven</t>
  </si>
  <si>
    <t>Fabienne Wouters</t>
  </si>
  <si>
    <t>Femke Smeets</t>
  </si>
  <si>
    <t>Floor Kettenis</t>
  </si>
  <si>
    <t>Garcella Dings</t>
  </si>
  <si>
    <t>Guusje Brouwers</t>
  </si>
  <si>
    <t>Hiske Haenen</t>
  </si>
  <si>
    <t>Iris Schobben</t>
  </si>
  <si>
    <t>Jaimey Oor</t>
  </si>
  <si>
    <t>Janna Tongos</t>
  </si>
  <si>
    <t xml:space="preserve">Jenske Botden </t>
  </si>
  <si>
    <t xml:space="preserve">Jessica Turlings </t>
  </si>
  <si>
    <t>Jessica van den Ekker</t>
  </si>
  <si>
    <t>Joëlle van Schayik</t>
  </si>
  <si>
    <t>Josien  Breukers</t>
  </si>
  <si>
    <t xml:space="preserve">Josien de Munck  </t>
  </si>
  <si>
    <t>Judith Zenden</t>
  </si>
  <si>
    <t>Karima Lahmar</t>
  </si>
  <si>
    <t>Karina  Vervoordeldonk</t>
  </si>
  <si>
    <t xml:space="preserve">Karlijn Beerkens </t>
  </si>
  <si>
    <t>Karlijn Nelissen</t>
  </si>
  <si>
    <t>Kaydee  Klaasse</t>
  </si>
  <si>
    <t>Kayleigh Vievermanns</t>
  </si>
  <si>
    <t>Kennedy Sarmon</t>
  </si>
  <si>
    <t>Kiki Nemeth</t>
  </si>
  <si>
    <t>Kim van Rengs</t>
  </si>
  <si>
    <t>Kirsten List</t>
  </si>
  <si>
    <t>Kiyara Schulpen</t>
  </si>
  <si>
    <t>Kristel Stevens</t>
  </si>
  <si>
    <t>Lanka Kalmijn</t>
  </si>
  <si>
    <t>Laura  Gähler</t>
  </si>
  <si>
    <t>Laura  Scheerman</t>
  </si>
  <si>
    <t>Lieke Geurts</t>
  </si>
  <si>
    <t>Lieke Spee</t>
  </si>
  <si>
    <t>Linda Niesen</t>
  </si>
  <si>
    <t>Lisa  Truijen</t>
  </si>
  <si>
    <t>Lisa van Hoesel</t>
  </si>
  <si>
    <t>Lisanne Verhees</t>
  </si>
  <si>
    <t xml:space="preserve">Loes Spee </t>
  </si>
  <si>
    <t>Lonneke Brueckner</t>
  </si>
  <si>
    <t>Lotte van Rens</t>
  </si>
  <si>
    <t>Luna Muijrers</t>
  </si>
  <si>
    <t>Madelon Partouns</t>
  </si>
  <si>
    <t>Mandy Schulpen</t>
  </si>
  <si>
    <t>Marly Hendrix</t>
  </si>
  <si>
    <t>Maud Huisken</t>
  </si>
  <si>
    <t>Maud Lejeune</t>
  </si>
  <si>
    <t>Maud Stelten</t>
  </si>
  <si>
    <t>Mayra van der Zanden</t>
  </si>
  <si>
    <t>Meike Jansen</t>
  </si>
  <si>
    <t>Melanie Buskes</t>
  </si>
  <si>
    <t>Melanie Moonen</t>
  </si>
  <si>
    <t>Melissa  Scheerman</t>
  </si>
  <si>
    <t>Melissa Heeskens</t>
  </si>
  <si>
    <t>Merel Bryant</t>
  </si>
  <si>
    <t>Michelle Opheij</t>
  </si>
  <si>
    <t>Mieke Truijen</t>
  </si>
  <si>
    <t>Mirte  Scheerman</t>
  </si>
  <si>
    <t>Mirte Borgman</t>
  </si>
  <si>
    <t>Mya Bussink</t>
  </si>
  <si>
    <t>Myrthe Pols</t>
  </si>
  <si>
    <t xml:space="preserve">Naomi Fleurkens </t>
  </si>
  <si>
    <t>Naomi Hendrikx</t>
  </si>
  <si>
    <t>Natasja Smits</t>
  </si>
  <si>
    <t>Nesrine El Filali</t>
  </si>
  <si>
    <t>Nikki Laurijsse</t>
  </si>
  <si>
    <t>Nikki Rijkhoek</t>
  </si>
  <si>
    <t>Nikki Ritchi</t>
  </si>
  <si>
    <t>Reneé Habets</t>
  </si>
  <si>
    <t>Renske Crutzen</t>
  </si>
  <si>
    <t>Rianne Ampts</t>
  </si>
  <si>
    <t>Robin Meijers</t>
  </si>
  <si>
    <t>Robin Smeets</t>
  </si>
  <si>
    <t>Romy Samulski</t>
  </si>
  <si>
    <t>Roosmarijn Olde Damink</t>
  </si>
  <si>
    <t xml:space="preserve">Rosa Manders </t>
  </si>
  <si>
    <t>Sara van Hout</t>
  </si>
  <si>
    <t>Saskia  Aertssen</t>
  </si>
  <si>
    <t>Sharon Creemers</t>
  </si>
  <si>
    <t>Simone  Vervoordeldonk</t>
  </si>
  <si>
    <t>Simone Soudant</t>
  </si>
  <si>
    <t>Sophie Riswick</t>
  </si>
  <si>
    <t>Sterre Knibbeler</t>
  </si>
  <si>
    <t>Sylvana Walgering</t>
  </si>
  <si>
    <t>Sylvie-Elise van Schayik</t>
  </si>
  <si>
    <t>Valerie Houben</t>
  </si>
  <si>
    <t>Veerle Houben</t>
  </si>
  <si>
    <t>Vivian Bom</t>
  </si>
  <si>
    <t>Wendy  Barendsz</t>
  </si>
  <si>
    <t>Willow Voorst</t>
  </si>
  <si>
    <t xml:space="preserve">Yentl Zegers </t>
  </si>
  <si>
    <t>Ymke Goossens</t>
  </si>
  <si>
    <t>Yule Brueckner</t>
  </si>
  <si>
    <t>Yvonne Dassen</t>
  </si>
  <si>
    <t>Zoë Vlaspoel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</si>
</sst>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000000"/>
    <numFmt numFmtId="166" formatCode="0.000"/>
    <numFmt numFmtId="167" formatCode="_-* #0.0000_-;_-* #0.000\-;_-* \-_-;_-@_-"/>
    <numFmt numFmtId="168" formatCode="0.0"/>
    <numFmt numFmtId="169" formatCode="0.0000_)"/>
    <numFmt numFmtId="170" formatCode="_-* #,##0.0_-;_-* #,##0.0\-;_-* \-??_-;_-@_-"/>
    <numFmt numFmtId="171" formatCode="_-* #,##0.00_-;_-* #,##0.00\-;_-* \-??_-;_-@_-"/>
    <numFmt numFmtId="172" formatCode="_-* #,##0.0000_-;_-* #,##0.0000\-;_-* \-??_-;_-@_-"/>
    <numFmt numFmtId="173" formatCode="d/mmm/yy;@"/>
    <numFmt numFmtId="174" formatCode="hh:mm"/>
    <numFmt numFmtId="175" formatCode="_-* #0_-;_-* #0\-;_-* &quot;&quot;_-;_-@_-"/>
    <numFmt numFmtId="176" formatCode="_-* #0.000_-;_-* #0.00\-;_-* \-_-;_-@_-"/>
    <numFmt numFmtId="177" formatCode="h:mm;@"/>
    <numFmt numFmtId="178" formatCode="dddd&quot;, &quot;mmmm\ dd&quot;, &quot;yyyy"/>
    <numFmt numFmtId="179" formatCode="mm:ss.00;@"/>
    <numFmt numFmtId="180" formatCode="_-* #,##0.0000_-;_-* #,##0.0000\-;_-* \-????_-;_-@_-"/>
    <numFmt numFmtId="181" formatCode="d\ mmm\ yy"/>
    <numFmt numFmtId="182" formatCode="_-* #0.0000_-;_-* #0.0000\-;_-* &quot;&quot;_-;_-@_-"/>
  </numFmts>
  <fonts count="63">
    <font>
      <sz val="10"/>
      <name val="Schiphol Frutig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9"/>
      <color indexed="17"/>
      <name val="Schiphol Frutiger"/>
      <family val="0"/>
    </font>
    <font>
      <sz val="9"/>
      <name val="Arial"/>
      <family val="2"/>
    </font>
    <font>
      <sz val="9"/>
      <color indexed="62"/>
      <name val="Arial"/>
      <family val="2"/>
    </font>
    <font>
      <sz val="9"/>
      <name val="Schiphol Frutiger"/>
      <family val="0"/>
    </font>
    <font>
      <sz val="9"/>
      <color indexed="11"/>
      <name val="Arial"/>
      <family val="2"/>
    </font>
    <font>
      <sz val="9"/>
      <color indexed="48"/>
      <name val="Arial"/>
      <family val="2"/>
    </font>
    <font>
      <sz val="9"/>
      <color indexed="53"/>
      <name val="Arial"/>
      <family val="2"/>
    </font>
    <font>
      <b/>
      <sz val="12"/>
      <color indexed="17"/>
      <name val="Arial"/>
      <family val="2"/>
    </font>
    <font>
      <sz val="9"/>
      <color indexed="18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3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sz val="10"/>
      <color indexed="17"/>
      <name val="Schiphol Frutige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sz val="12"/>
      <name val="Schiphol Frutige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Schiphol Frutig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chiphol Frutiger"/>
      <family val="0"/>
    </font>
    <font>
      <sz val="8"/>
      <name val="Schiphol Frutiger"/>
      <family val="0"/>
    </font>
    <font>
      <sz val="7"/>
      <name val="Schiphol Frutiger"/>
      <family val="0"/>
    </font>
    <font>
      <sz val="9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omic Sans MS"/>
      <family val="4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17"/>
      <name val="Schiphol Frutiger"/>
      <family val="0"/>
    </font>
    <font>
      <sz val="10"/>
      <color indexed="62"/>
      <name val="Schiphol Frutiger"/>
      <family val="0"/>
    </font>
    <font>
      <b/>
      <sz val="11"/>
      <name val="Schiphol Frutiger"/>
      <family val="0"/>
    </font>
    <font>
      <i/>
      <sz val="10"/>
      <color indexed="8"/>
      <name val="Arial"/>
      <family val="2"/>
    </font>
    <font>
      <b/>
      <sz val="9"/>
      <name val="Schiphol Frutiger"/>
      <family val="0"/>
    </font>
    <font>
      <sz val="9"/>
      <color indexed="9"/>
      <name val="Schiphol Frutiger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8" fillId="3" borderId="1" applyNumberFormat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7" applyNumberFormat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27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9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9" fontId="24" fillId="0" borderId="11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9" fontId="23" fillId="0" borderId="12" xfId="0" applyNumberFormat="1" applyFont="1" applyBorder="1" applyAlignment="1" applyProtection="1">
      <alignment/>
      <protection locked="0"/>
    </xf>
    <xf numFmtId="0" fontId="19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wrapText="1"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14" xfId="0" applyFont="1" applyFill="1" applyBorder="1" applyAlignment="1">
      <alignment wrapText="1"/>
    </xf>
    <xf numFmtId="164" fontId="34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Fill="1" applyBorder="1" applyAlignment="1">
      <alignment horizontal="center"/>
    </xf>
    <xf numFmtId="166" fontId="23" fillId="0" borderId="14" xfId="0" applyNumberFormat="1" applyFont="1" applyBorder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/>
      <protection locked="0"/>
    </xf>
    <xf numFmtId="1" fontId="23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7" fontId="29" fillId="0" borderId="0" xfId="0" applyNumberFormat="1" applyFont="1" applyAlignment="1">
      <alignment/>
    </xf>
    <xf numFmtId="1" fontId="21" fillId="0" borderId="16" xfId="0" applyNumberFormat="1" applyFont="1" applyBorder="1" applyAlignment="1">
      <alignment/>
    </xf>
    <xf numFmtId="1" fontId="21" fillId="0" borderId="17" xfId="0" applyNumberFormat="1" applyFont="1" applyBorder="1" applyAlignment="1">
      <alignment/>
    </xf>
    <xf numFmtId="168" fontId="25" fillId="0" borderId="16" xfId="0" applyNumberFormat="1" applyFont="1" applyBorder="1" applyAlignment="1" applyProtection="1">
      <alignment/>
      <protection locked="0"/>
    </xf>
    <xf numFmtId="168" fontId="25" fillId="0" borderId="17" xfId="0" applyNumberFormat="1" applyFont="1" applyBorder="1" applyAlignment="1" applyProtection="1">
      <alignment/>
      <protection locked="0"/>
    </xf>
    <xf numFmtId="168" fontId="25" fillId="0" borderId="17" xfId="0" applyNumberFormat="1" applyFont="1" applyBorder="1" applyAlignment="1">
      <alignment/>
    </xf>
    <xf numFmtId="169" fontId="25" fillId="0" borderId="17" xfId="0" applyNumberFormat="1" applyFont="1" applyBorder="1" applyAlignment="1" applyProtection="1">
      <alignment/>
      <protection/>
    </xf>
    <xf numFmtId="0" fontId="25" fillId="0" borderId="19" xfId="0" applyNumberFormat="1" applyFont="1" applyBorder="1" applyAlignment="1" applyProtection="1">
      <alignment/>
      <protection/>
    </xf>
    <xf numFmtId="168" fontId="24" fillId="0" borderId="16" xfId="0" applyNumberFormat="1" applyFont="1" applyBorder="1" applyAlignment="1" applyProtection="1">
      <alignment/>
      <protection locked="0"/>
    </xf>
    <xf numFmtId="168" fontId="24" fillId="0" borderId="17" xfId="0" applyNumberFormat="1" applyFont="1" applyBorder="1" applyAlignment="1" applyProtection="1">
      <alignment/>
      <protection locked="0"/>
    </xf>
    <xf numFmtId="168" fontId="24" fillId="0" borderId="17" xfId="0" applyNumberFormat="1" applyFont="1" applyBorder="1" applyAlignment="1">
      <alignment/>
    </xf>
    <xf numFmtId="169" fontId="24" fillId="0" borderId="17" xfId="0" applyNumberFormat="1" applyFont="1" applyBorder="1" applyAlignment="1" applyProtection="1">
      <alignment/>
      <protection/>
    </xf>
    <xf numFmtId="0" fontId="24" fillId="0" borderId="19" xfId="0" applyNumberFormat="1" applyFont="1" applyBorder="1" applyAlignment="1" applyProtection="1">
      <alignment/>
      <protection/>
    </xf>
    <xf numFmtId="1" fontId="23" fillId="0" borderId="16" xfId="0" applyNumberFormat="1" applyFont="1" applyBorder="1" applyAlignment="1" applyProtection="1">
      <alignment/>
      <protection locked="0"/>
    </xf>
    <xf numFmtId="1" fontId="23" fillId="0" borderId="17" xfId="0" applyNumberFormat="1" applyFont="1" applyBorder="1" applyAlignment="1" applyProtection="1">
      <alignment/>
      <protection locked="0"/>
    </xf>
    <xf numFmtId="168" fontId="26" fillId="0" borderId="16" xfId="0" applyNumberFormat="1" applyFont="1" applyBorder="1" applyAlignment="1" applyProtection="1">
      <alignment/>
      <protection locked="0"/>
    </xf>
    <xf numFmtId="168" fontId="26" fillId="0" borderId="17" xfId="0" applyNumberFormat="1" applyFont="1" applyBorder="1" applyAlignment="1" applyProtection="1">
      <alignment/>
      <protection locked="0"/>
    </xf>
    <xf numFmtId="168" fontId="26" fillId="0" borderId="17" xfId="0" applyNumberFormat="1" applyFont="1" applyBorder="1" applyAlignment="1">
      <alignment/>
    </xf>
    <xf numFmtId="169" fontId="26" fillId="0" borderId="17" xfId="0" applyNumberFormat="1" applyFont="1" applyBorder="1" applyAlignment="1" applyProtection="1">
      <alignment/>
      <protection/>
    </xf>
    <xf numFmtId="0" fontId="26" fillId="0" borderId="19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 locked="0"/>
    </xf>
    <xf numFmtId="170" fontId="35" fillId="0" borderId="14" xfId="0" applyNumberFormat="1" applyFont="1" applyBorder="1" applyAlignment="1">
      <alignment/>
    </xf>
    <xf numFmtId="172" fontId="28" fillId="0" borderId="14" xfId="44" applyNumberFormat="1" applyFont="1" applyFill="1" applyBorder="1" applyAlignment="1" applyProtection="1">
      <alignment/>
      <protection/>
    </xf>
    <xf numFmtId="167" fontId="28" fillId="0" borderId="14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1" fontId="36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" fontId="23" fillId="0" borderId="0" xfId="0" applyNumberFormat="1" applyFont="1" applyFill="1" applyAlignment="1">
      <alignment/>
    </xf>
    <xf numFmtId="170" fontId="21" fillId="0" borderId="14" xfId="0" applyNumberFormat="1" applyFont="1" applyFill="1" applyBorder="1" applyAlignment="1" applyProtection="1">
      <alignment/>
      <protection locked="0"/>
    </xf>
    <xf numFmtId="164" fontId="36" fillId="0" borderId="14" xfId="0" applyNumberFormat="1" applyFont="1" applyFill="1" applyBorder="1" applyAlignment="1">
      <alignment/>
    </xf>
    <xf numFmtId="1" fontId="36" fillId="0" borderId="14" xfId="0" applyNumberFormat="1" applyFont="1" applyFill="1" applyBorder="1" applyAlignment="1">
      <alignment/>
    </xf>
    <xf numFmtId="49" fontId="38" fillId="0" borderId="0" xfId="0" applyNumberFormat="1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7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4" fontId="42" fillId="0" borderId="0" xfId="0" applyNumberFormat="1" applyFont="1" applyAlignment="1">
      <alignment/>
    </xf>
    <xf numFmtId="0" fontId="43" fillId="0" borderId="20" xfId="0" applyFont="1" applyBorder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164" fontId="39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20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0" xfId="0" applyFont="1" applyBorder="1" applyAlignment="1">
      <alignment/>
    </xf>
    <xf numFmtId="164" fontId="39" fillId="0" borderId="20" xfId="0" applyNumberFormat="1" applyFont="1" applyBorder="1" applyAlignment="1">
      <alignment/>
    </xf>
    <xf numFmtId="175" fontId="44" fillId="0" borderId="21" xfId="0" applyNumberFormat="1" applyFont="1" applyBorder="1" applyAlignment="1">
      <alignment/>
    </xf>
    <xf numFmtId="175" fontId="44" fillId="0" borderId="2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170" fontId="1" fillId="0" borderId="22" xfId="0" applyNumberFormat="1" applyFont="1" applyBorder="1" applyAlignment="1">
      <alignment horizontal="left"/>
    </xf>
    <xf numFmtId="170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164" fontId="1" fillId="0" borderId="25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75" fontId="1" fillId="0" borderId="30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/>
    </xf>
    <xf numFmtId="175" fontId="30" fillId="0" borderId="0" xfId="0" applyNumberFormat="1" applyFont="1" applyBorder="1" applyAlignment="1">
      <alignment horizontal="right"/>
    </xf>
    <xf numFmtId="175" fontId="30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20" xfId="0" applyNumberFormat="1" applyFont="1" applyBorder="1" applyAlignment="1">
      <alignment/>
    </xf>
    <xf numFmtId="175" fontId="44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4" fontId="1" fillId="0" borderId="36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0" xfId="0" applyFont="1" applyAlignment="1">
      <alignment/>
    </xf>
    <xf numFmtId="0" fontId="0" fillId="0" borderId="21" xfId="0" applyFont="1" applyBorder="1" applyAlignment="1">
      <alignment vertical="top" wrapText="1"/>
    </xf>
    <xf numFmtId="164" fontId="0" fillId="0" borderId="21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3" fillId="0" borderId="20" xfId="0" applyFont="1" applyBorder="1" applyAlignment="1">
      <alignment/>
    </xf>
    <xf numFmtId="170" fontId="1" fillId="0" borderId="37" xfId="0" applyNumberFormat="1" applyFont="1" applyBorder="1" applyAlignment="1">
      <alignment horizontal="left"/>
    </xf>
    <xf numFmtId="170" fontId="1" fillId="0" borderId="37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0" xfId="55" applyFont="1">
      <alignment/>
      <protection/>
    </xf>
    <xf numFmtId="0" fontId="49" fillId="0" borderId="0" xfId="55" applyFont="1" applyAlignment="1">
      <alignment vertical="top"/>
      <protection/>
    </xf>
    <xf numFmtId="0" fontId="48" fillId="0" borderId="0" xfId="55" applyFont="1" applyAlignment="1">
      <alignment horizontal="center"/>
      <protection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3" fillId="0" borderId="0" xfId="54" applyFont="1" applyBorder="1" applyAlignment="1">
      <alignment horizontal="center"/>
      <protection/>
    </xf>
    <xf numFmtId="178" fontId="2" fillId="0" borderId="0" xfId="55" applyNumberFormat="1" applyFont="1" applyBorder="1" applyAlignment="1" applyProtection="1">
      <alignment horizontal="left"/>
      <protection locked="0"/>
    </xf>
    <xf numFmtId="178" fontId="2" fillId="0" borderId="13" xfId="55" applyNumberFormat="1" applyFont="1" applyBorder="1" applyAlignment="1" applyProtection="1">
      <alignment/>
      <protection locked="0"/>
    </xf>
    <xf numFmtId="178" fontId="2" fillId="0" borderId="11" xfId="55" applyNumberFormat="1" applyFont="1" applyBorder="1" applyAlignment="1" applyProtection="1">
      <alignment/>
      <protection locked="0"/>
    </xf>
    <xf numFmtId="178" fontId="2" fillId="0" borderId="12" xfId="55" applyNumberFormat="1" applyFont="1" applyBorder="1" applyAlignment="1" applyProtection="1">
      <alignment/>
      <protection locked="0"/>
    </xf>
    <xf numFmtId="178" fontId="2" fillId="0" borderId="0" xfId="55" applyNumberFormat="1" applyFont="1" applyAlignment="1" applyProtection="1">
      <alignment horizontal="left"/>
      <protection locked="0"/>
    </xf>
    <xf numFmtId="0" fontId="51" fillId="0" borderId="0" xfId="55" applyFont="1" applyBorder="1" applyAlignment="1" applyProtection="1">
      <alignment/>
      <protection locked="0"/>
    </xf>
    <xf numFmtId="0" fontId="2" fillId="0" borderId="0" xfId="55" applyBorder="1" applyAlignment="1">
      <alignment/>
      <protection/>
    </xf>
    <xf numFmtId="0" fontId="2" fillId="0" borderId="41" xfId="55" applyFont="1" applyBorder="1" applyAlignment="1" applyProtection="1">
      <alignment/>
      <protection locked="0"/>
    </xf>
    <xf numFmtId="0" fontId="52" fillId="0" borderId="42" xfId="55" applyFont="1" applyBorder="1">
      <alignment/>
      <protection/>
    </xf>
    <xf numFmtId="0" fontId="51" fillId="0" borderId="0" xfId="55" applyFont="1" applyBorder="1" applyAlignment="1" applyProtection="1">
      <alignment horizontal="center"/>
      <protection locked="0"/>
    </xf>
    <xf numFmtId="0" fontId="51" fillId="0" borderId="23" xfId="55" applyFont="1" applyBorder="1" applyAlignment="1">
      <alignment horizontal="center"/>
      <protection/>
    </xf>
    <xf numFmtId="0" fontId="51" fillId="0" borderId="43" xfId="55" applyFont="1" applyBorder="1" applyAlignment="1">
      <alignment horizontal="center"/>
      <protection/>
    </xf>
    <xf numFmtId="0" fontId="51" fillId="0" borderId="26" xfId="55" applyFont="1" applyBorder="1" applyAlignment="1">
      <alignment horizontal="center"/>
      <protection/>
    </xf>
    <xf numFmtId="9" fontId="48" fillId="0" borderId="0" xfId="53" applyFont="1" applyFill="1" applyBorder="1" applyAlignment="1" applyProtection="1">
      <alignment/>
      <protection/>
    </xf>
    <xf numFmtId="9" fontId="55" fillId="0" borderId="0" xfId="53" applyFont="1" applyFill="1" applyBorder="1" applyAlignment="1" applyProtection="1">
      <alignment/>
      <protection/>
    </xf>
    <xf numFmtId="0" fontId="51" fillId="0" borderId="12" xfId="55" applyFont="1" applyBorder="1" applyAlignment="1">
      <alignment horizontal="center"/>
      <protection/>
    </xf>
    <xf numFmtId="0" fontId="51" fillId="0" borderId="14" xfId="55" applyFont="1" applyBorder="1" applyAlignment="1">
      <alignment horizontal="center"/>
      <protection/>
    </xf>
    <xf numFmtId="0" fontId="51" fillId="0" borderId="14" xfId="55" applyFont="1" applyBorder="1" applyAlignment="1">
      <alignment horizontal="center" wrapText="1"/>
      <protection/>
    </xf>
    <xf numFmtId="0" fontId="51" fillId="0" borderId="0" xfId="55" applyFont="1" applyBorder="1" applyAlignment="1">
      <alignment horizontal="center"/>
      <protection/>
    </xf>
    <xf numFmtId="9" fontId="51" fillId="0" borderId="14" xfId="55" applyNumberFormat="1" applyFont="1" applyBorder="1" applyAlignment="1">
      <alignment horizontal="center" wrapText="1"/>
      <protection/>
    </xf>
    <xf numFmtId="168" fontId="51" fillId="0" borderId="14" xfId="55" applyNumberFormat="1" applyFont="1" applyBorder="1" applyAlignment="1" applyProtection="1">
      <alignment horizontal="center" wrapText="1"/>
      <protection locked="0"/>
    </xf>
    <xf numFmtId="0" fontId="52" fillId="0" borderId="0" xfId="55" applyFont="1" applyAlignment="1">
      <alignment wrapText="1"/>
      <protection/>
    </xf>
    <xf numFmtId="0" fontId="48" fillId="0" borderId="0" xfId="55" applyFont="1" applyAlignment="1">
      <alignment wrapText="1"/>
      <protection/>
    </xf>
    <xf numFmtId="9" fontId="51" fillId="0" borderId="14" xfId="55" applyNumberFormat="1" applyFont="1" applyBorder="1" applyAlignment="1">
      <alignment horizontal="center"/>
      <protection/>
    </xf>
    <xf numFmtId="168" fontId="51" fillId="0" borderId="14" xfId="55" applyNumberFormat="1" applyFont="1" applyBorder="1" applyAlignment="1">
      <alignment horizontal="center" wrapText="1"/>
      <protection/>
    </xf>
    <xf numFmtId="0" fontId="52" fillId="0" borderId="0" xfId="55" applyFont="1" applyBorder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51" fillId="0" borderId="0" xfId="55" applyFont="1" applyBorder="1" applyAlignment="1">
      <alignment horizontal="center" wrapText="1"/>
      <protection/>
    </xf>
    <xf numFmtId="0" fontId="2" fillId="0" borderId="0" xfId="55" applyBorder="1" applyAlignment="1">
      <alignment horizontal="center"/>
      <protection/>
    </xf>
    <xf numFmtId="0" fontId="51" fillId="0" borderId="41" xfId="55" applyFont="1" applyBorder="1" applyAlignment="1">
      <alignment horizontal="center"/>
      <protection/>
    </xf>
    <xf numFmtId="0" fontId="51" fillId="0" borderId="15" xfId="55" applyFont="1" applyBorder="1" applyAlignment="1">
      <alignment horizontal="center"/>
      <protection/>
    </xf>
    <xf numFmtId="0" fontId="54" fillId="0" borderId="44" xfId="55" applyFont="1" applyBorder="1">
      <alignment/>
      <protection/>
    </xf>
    <xf numFmtId="0" fontId="51" fillId="0" borderId="45" xfId="55" applyFont="1" applyBorder="1">
      <alignment/>
      <protection/>
    </xf>
    <xf numFmtId="0" fontId="51" fillId="0" borderId="46" xfId="55" applyFont="1" applyBorder="1">
      <alignment/>
      <protection/>
    </xf>
    <xf numFmtId="0" fontId="51" fillId="0" borderId="47" xfId="55" applyFont="1" applyBorder="1">
      <alignment/>
      <protection/>
    </xf>
    <xf numFmtId="0" fontId="51" fillId="0" borderId="35" xfId="55" applyFont="1" applyBorder="1">
      <alignment/>
      <protection/>
    </xf>
    <xf numFmtId="0" fontId="51" fillId="0" borderId="48" xfId="55" applyFont="1" applyBorder="1">
      <alignment/>
      <protection/>
    </xf>
    <xf numFmtId="0" fontId="51" fillId="0" borderId="49" xfId="55" applyFont="1" applyBorder="1" applyAlignment="1">
      <alignment horizontal="center"/>
      <protection/>
    </xf>
    <xf numFmtId="0" fontId="51" fillId="0" borderId="22" xfId="55" applyFont="1" applyBorder="1" applyAlignment="1">
      <alignment horizontal="center"/>
      <protection/>
    </xf>
    <xf numFmtId="0" fontId="51" fillId="0" borderId="36" xfId="55" applyFont="1" applyBorder="1" applyAlignment="1">
      <alignment horizontal="center"/>
      <protection/>
    </xf>
    <xf numFmtId="0" fontId="48" fillId="0" borderId="50" xfId="55" applyFont="1" applyBorder="1">
      <alignment/>
      <protection/>
    </xf>
    <xf numFmtId="0" fontId="48" fillId="0" borderId="41" xfId="55" applyFont="1" applyBorder="1">
      <alignment/>
      <protection/>
    </xf>
    <xf numFmtId="0" fontId="51" fillId="0" borderId="50" xfId="55" applyFont="1" applyBorder="1">
      <alignment/>
      <protection/>
    </xf>
    <xf numFmtId="0" fontId="51" fillId="0" borderId="41" xfId="55" applyFont="1" applyBorder="1">
      <alignment/>
      <protection/>
    </xf>
    <xf numFmtId="168" fontId="51" fillId="0" borderId="51" xfId="55" applyNumberFormat="1" applyFont="1" applyBorder="1" applyAlignment="1">
      <alignment horizontal="center"/>
      <protection/>
    </xf>
    <xf numFmtId="168" fontId="51" fillId="0" borderId="27" xfId="55" applyNumberFormat="1" applyFont="1" applyBorder="1" applyAlignment="1">
      <alignment horizontal="center"/>
      <protection/>
    </xf>
    <xf numFmtId="179" fontId="51" fillId="0" borderId="26" xfId="55" applyNumberFormat="1" applyFont="1" applyBorder="1" applyAlignment="1" applyProtection="1">
      <alignment horizontal="center"/>
      <protection locked="0"/>
    </xf>
    <xf numFmtId="179" fontId="51" fillId="0" borderId="51" xfId="55" applyNumberFormat="1" applyFont="1" applyBorder="1" applyAlignment="1" applyProtection="1">
      <alignment horizontal="center"/>
      <protection locked="0"/>
    </xf>
    <xf numFmtId="0" fontId="54" fillId="0" borderId="0" xfId="55" applyFont="1" applyAlignment="1">
      <alignment horizontal="right"/>
      <protection/>
    </xf>
    <xf numFmtId="0" fontId="56" fillId="0" borderId="0" xfId="55" applyFont="1">
      <alignment/>
      <protection/>
    </xf>
    <xf numFmtId="0" fontId="57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172" fontId="23" fillId="0" borderId="0" xfId="44" applyNumberFormat="1" applyFont="1" applyFill="1" applyBorder="1" applyAlignment="1" applyProtection="1">
      <alignment/>
      <protection/>
    </xf>
    <xf numFmtId="1" fontId="20" fillId="0" borderId="0" xfId="0" applyNumberFormat="1" applyFont="1" applyAlignment="1">
      <alignment/>
    </xf>
    <xf numFmtId="1" fontId="20" fillId="0" borderId="0" xfId="0" applyNumberFormat="1" applyFont="1" applyFill="1" applyAlignment="1">
      <alignment/>
    </xf>
    <xf numFmtId="1" fontId="23" fillId="0" borderId="0" xfId="0" applyNumberFormat="1" applyFont="1" applyFill="1" applyAlignment="1" applyProtection="1">
      <alignment/>
      <protection locked="0"/>
    </xf>
    <xf numFmtId="0" fontId="45" fillId="0" borderId="0" xfId="0" applyFont="1" applyFill="1" applyAlignment="1">
      <alignment/>
    </xf>
    <xf numFmtId="178" fontId="2" fillId="0" borderId="0" xfId="55" applyNumberFormat="1" applyFont="1" applyAlignment="1" applyProtection="1">
      <alignment/>
      <protection locked="0"/>
    </xf>
    <xf numFmtId="0" fontId="51" fillId="0" borderId="27" xfId="55" applyFont="1" applyBorder="1" applyAlignment="1" applyProtection="1">
      <alignment/>
      <protection locked="0"/>
    </xf>
    <xf numFmtId="0" fontId="51" fillId="0" borderId="28" xfId="55" applyFont="1" applyBorder="1" applyAlignment="1" applyProtection="1">
      <alignment/>
      <protection locked="0"/>
    </xf>
    <xf numFmtId="0" fontId="22" fillId="0" borderId="12" xfId="0" applyFont="1" applyBorder="1" applyAlignment="1">
      <alignment wrapText="1"/>
    </xf>
    <xf numFmtId="0" fontId="29" fillId="0" borderId="14" xfId="0" applyFont="1" applyBorder="1" applyAlignment="1">
      <alignment/>
    </xf>
    <xf numFmtId="170" fontId="21" fillId="0" borderId="14" xfId="0" applyNumberFormat="1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1" fontId="23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6" fontId="23" fillId="0" borderId="14" xfId="0" applyNumberFormat="1" applyFont="1" applyBorder="1" applyAlignment="1" applyProtection="1">
      <alignment horizontal="left"/>
      <protection locked="0"/>
    </xf>
    <xf numFmtId="164" fontId="39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0" xfId="0" applyBorder="1" applyAlignment="1">
      <alignment/>
    </xf>
    <xf numFmtId="0" fontId="61" fillId="0" borderId="20" xfId="0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0" xfId="0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vertical="top" wrapText="1"/>
    </xf>
    <xf numFmtId="0" fontId="23" fillId="0" borderId="21" xfId="0" applyNumberFormat="1" applyFont="1" applyBorder="1" applyAlignment="1">
      <alignment/>
    </xf>
    <xf numFmtId="0" fontId="23" fillId="0" borderId="21" xfId="0" applyFont="1" applyBorder="1" applyAlignment="1">
      <alignment horizontal="left"/>
    </xf>
    <xf numFmtId="0" fontId="0" fillId="0" borderId="53" xfId="0" applyBorder="1" applyAlignment="1">
      <alignment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left"/>
    </xf>
    <xf numFmtId="49" fontId="6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/>
    </xf>
    <xf numFmtId="49" fontId="62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172" fontId="46" fillId="0" borderId="0" xfId="44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72" fontId="23" fillId="0" borderId="0" xfId="44" applyNumberFormat="1" applyFont="1" applyFill="1" applyBorder="1" applyAlignment="1" applyProtection="1">
      <alignment horizontal="left"/>
      <protection/>
    </xf>
    <xf numFmtId="172" fontId="23" fillId="0" borderId="0" xfId="44" applyNumberFormat="1" applyFont="1" applyFill="1" applyBorder="1" applyAlignment="1" applyProtection="1">
      <alignment/>
      <protection/>
    </xf>
    <xf numFmtId="172" fontId="23" fillId="0" borderId="0" xfId="0" applyNumberFormat="1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0" fillId="0" borderId="54" xfId="0" applyBorder="1" applyAlignment="1">
      <alignment horizontal="right"/>
    </xf>
    <xf numFmtId="0" fontId="23" fillId="0" borderId="30" xfId="0" applyFont="1" applyBorder="1" applyAlignment="1">
      <alignment horizontal="right"/>
    </xf>
    <xf numFmtId="0" fontId="23" fillId="0" borderId="3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left"/>
    </xf>
    <xf numFmtId="0" fontId="23" fillId="0" borderId="30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right"/>
    </xf>
    <xf numFmtId="0" fontId="23" fillId="0" borderId="20" xfId="0" applyFont="1" applyBorder="1" applyAlignment="1">
      <alignment horizontal="righ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32" xfId="0" applyFont="1" applyBorder="1" applyAlignment="1">
      <alignment vertical="top" wrapText="1"/>
    </xf>
    <xf numFmtId="175" fontId="23" fillId="0" borderId="52" xfId="0" applyNumberFormat="1" applyFont="1" applyBorder="1" applyAlignment="1">
      <alignment/>
    </xf>
    <xf numFmtId="175" fontId="23" fillId="0" borderId="56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30" fillId="0" borderId="56" xfId="0" applyNumberFormat="1" applyFont="1" applyBorder="1" applyAlignment="1">
      <alignment/>
    </xf>
    <xf numFmtId="176" fontId="30" fillId="0" borderId="56" xfId="0" applyNumberFormat="1" applyFont="1" applyBorder="1" applyAlignment="1">
      <alignment/>
    </xf>
    <xf numFmtId="176" fontId="30" fillId="0" borderId="56" xfId="0" applyNumberFormat="1" applyFont="1" applyBorder="1" applyAlignment="1">
      <alignment horizontal="left"/>
    </xf>
    <xf numFmtId="182" fontId="23" fillId="0" borderId="57" xfId="0" applyNumberFormat="1" applyFont="1" applyBorder="1" applyAlignment="1">
      <alignment horizontal="left"/>
    </xf>
    <xf numFmtId="175" fontId="46" fillId="0" borderId="58" xfId="0" applyNumberFormat="1" applyFont="1" applyBorder="1" applyAlignment="1">
      <alignment/>
    </xf>
    <xf numFmtId="175" fontId="23" fillId="0" borderId="59" xfId="0" applyNumberFormat="1" applyFont="1" applyBorder="1" applyAlignment="1">
      <alignment/>
    </xf>
    <xf numFmtId="175" fontId="23" fillId="0" borderId="60" xfId="0" applyNumberFormat="1" applyFont="1" applyBorder="1" applyAlignment="1">
      <alignment/>
    </xf>
    <xf numFmtId="1" fontId="30" fillId="0" borderId="60" xfId="0" applyNumberFormat="1" applyFont="1" applyBorder="1" applyAlignment="1">
      <alignment/>
    </xf>
    <xf numFmtId="176" fontId="30" fillId="0" borderId="60" xfId="0" applyNumberFormat="1" applyFont="1" applyBorder="1" applyAlignment="1">
      <alignment/>
    </xf>
    <xf numFmtId="176" fontId="30" fillId="0" borderId="60" xfId="0" applyNumberFormat="1" applyFont="1" applyBorder="1" applyAlignment="1">
      <alignment horizontal="left"/>
    </xf>
    <xf numFmtId="182" fontId="23" fillId="0" borderId="61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23" fillId="0" borderId="0" xfId="0" applyNumberFormat="1" applyFont="1" applyBorder="1" applyAlignment="1">
      <alignment horizontal="right"/>
    </xf>
    <xf numFmtId="175" fontId="23" fillId="0" borderId="0" xfId="0" applyNumberFormat="1" applyFont="1" applyBorder="1" applyAlignment="1">
      <alignment horizontal="left"/>
    </xf>
    <xf numFmtId="176" fontId="3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60" xfId="0" applyNumberFormat="1" applyFill="1" applyBorder="1" applyAlignment="1">
      <alignment horizontal="center"/>
    </xf>
    <xf numFmtId="49" fontId="0" fillId="0" borderId="60" xfId="0" applyNumberFormat="1" applyFont="1" applyFill="1" applyBorder="1" applyAlignment="1">
      <alignment/>
    </xf>
    <xf numFmtId="166" fontId="0" fillId="0" borderId="60" xfId="0" applyNumberFormat="1" applyFont="1" applyFill="1" applyBorder="1" applyAlignment="1">
      <alignment/>
    </xf>
    <xf numFmtId="0" fontId="0" fillId="0" borderId="60" xfId="0" applyFill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0" xfId="0" applyFont="1" applyFill="1" applyBorder="1" applyAlignment="1">
      <alignment/>
    </xf>
    <xf numFmtId="175" fontId="23" fillId="0" borderId="60" xfId="0" applyNumberFormat="1" applyFont="1" applyBorder="1" applyAlignment="1">
      <alignment horizontal="right"/>
    </xf>
    <xf numFmtId="175" fontId="23" fillId="0" borderId="60" xfId="0" applyNumberFormat="1" applyFont="1" applyBorder="1" applyAlignment="1">
      <alignment horizontal="left"/>
    </xf>
    <xf numFmtId="175" fontId="23" fillId="0" borderId="62" xfId="0" applyNumberFormat="1" applyFont="1" applyBorder="1" applyAlignment="1">
      <alignment/>
    </xf>
    <xf numFmtId="175" fontId="46" fillId="0" borderId="63" xfId="0" applyNumberFormat="1" applyFont="1" applyBorder="1" applyAlignment="1">
      <alignment/>
    </xf>
    <xf numFmtId="175" fontId="23" fillId="0" borderId="64" xfId="0" applyNumberFormat="1" applyFont="1" applyBorder="1" applyAlignment="1">
      <alignment/>
    </xf>
    <xf numFmtId="175" fontId="23" fillId="0" borderId="64" xfId="0" applyNumberFormat="1" applyFont="1" applyBorder="1" applyAlignment="1">
      <alignment horizontal="right"/>
    </xf>
    <xf numFmtId="175" fontId="23" fillId="0" borderId="64" xfId="0" applyNumberFormat="1" applyFont="1" applyBorder="1" applyAlignment="1">
      <alignment horizontal="left"/>
    </xf>
    <xf numFmtId="176" fontId="30" fillId="0" borderId="64" xfId="0" applyNumberFormat="1" applyFont="1" applyBorder="1" applyAlignment="1">
      <alignment horizontal="left"/>
    </xf>
    <xf numFmtId="1" fontId="30" fillId="0" borderId="64" xfId="0" applyNumberFormat="1" applyFont="1" applyBorder="1" applyAlignment="1">
      <alignment/>
    </xf>
    <xf numFmtId="176" fontId="30" fillId="0" borderId="64" xfId="0" applyNumberFormat="1" applyFont="1" applyBorder="1" applyAlignment="1">
      <alignment/>
    </xf>
    <xf numFmtId="182" fontId="23" fillId="0" borderId="65" xfId="0" applyNumberFormat="1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shrinkToFit="1"/>
    </xf>
    <xf numFmtId="0" fontId="21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73" fontId="42" fillId="0" borderId="0" xfId="0" applyNumberFormat="1" applyFont="1" applyBorder="1" applyAlignment="1">
      <alignment horizontal="center"/>
    </xf>
    <xf numFmtId="174" fontId="42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173" fontId="45" fillId="0" borderId="0" xfId="0" applyNumberFormat="1" applyFont="1" applyBorder="1" applyAlignment="1">
      <alignment horizontal="right"/>
    </xf>
    <xf numFmtId="177" fontId="45" fillId="0" borderId="0" xfId="0" applyNumberFormat="1" applyFont="1" applyBorder="1" applyAlignment="1">
      <alignment horizontal="right"/>
    </xf>
    <xf numFmtId="180" fontId="51" fillId="0" borderId="66" xfId="55" applyNumberFormat="1" applyFont="1" applyBorder="1" applyAlignment="1">
      <alignment/>
      <protection/>
    </xf>
    <xf numFmtId="0" fontId="48" fillId="0" borderId="66" xfId="55" applyFont="1" applyBorder="1" applyAlignment="1">
      <alignment/>
      <protection/>
    </xf>
    <xf numFmtId="0" fontId="48" fillId="0" borderId="49" xfId="55" applyFont="1" applyBorder="1" applyAlignment="1">
      <alignment horizontal="center" wrapText="1"/>
      <protection/>
    </xf>
    <xf numFmtId="0" fontId="48" fillId="0" borderId="34" xfId="55" applyFont="1" applyBorder="1" applyAlignment="1">
      <alignment horizontal="center" wrapText="1"/>
      <protection/>
    </xf>
    <xf numFmtId="0" fontId="51" fillId="0" borderId="22" xfId="55" applyFont="1" applyBorder="1" applyAlignment="1">
      <alignment/>
      <protection/>
    </xf>
    <xf numFmtId="179" fontId="51" fillId="0" borderId="51" xfId="55" applyNumberFormat="1" applyFont="1" applyBorder="1" applyAlignment="1" applyProtection="1">
      <alignment horizontal="center"/>
      <protection locked="0"/>
    </xf>
    <xf numFmtId="0" fontId="51" fillId="0" borderId="51" xfId="55" applyFont="1" applyBorder="1" applyAlignment="1" applyProtection="1">
      <alignment horizontal="center"/>
      <protection locked="0"/>
    </xf>
    <xf numFmtId="168" fontId="51" fillId="0" borderId="51" xfId="55" applyNumberFormat="1" applyFont="1" applyBorder="1" applyAlignment="1" applyProtection="1">
      <alignment horizontal="center"/>
      <protection locked="0"/>
    </xf>
    <xf numFmtId="168" fontId="51" fillId="0" borderId="27" xfId="55" applyNumberFormat="1" applyFont="1" applyBorder="1" applyAlignment="1" applyProtection="1">
      <alignment horizontal="center"/>
      <protection locked="0"/>
    </xf>
    <xf numFmtId="168" fontId="51" fillId="0" borderId="51" xfId="55" applyNumberFormat="1" applyFont="1" applyBorder="1" applyAlignment="1">
      <alignment horizontal="center"/>
      <protection/>
    </xf>
    <xf numFmtId="0" fontId="51" fillId="0" borderId="67" xfId="55" applyFont="1" applyBorder="1" applyAlignment="1">
      <alignment horizontal="center" wrapText="1"/>
      <protection/>
    </xf>
    <xf numFmtId="0" fontId="54" fillId="0" borderId="14" xfId="55" applyFont="1" applyBorder="1" applyAlignment="1">
      <alignment horizontal="center"/>
      <protection/>
    </xf>
    <xf numFmtId="172" fontId="51" fillId="0" borderId="46" xfId="55" applyNumberFormat="1" applyFont="1" applyBorder="1" applyAlignment="1">
      <alignment horizontal="center"/>
      <protection/>
    </xf>
    <xf numFmtId="168" fontId="48" fillId="0" borderId="68" xfId="44" applyNumberFormat="1" applyFont="1" applyFill="1" applyBorder="1" applyAlignment="1" applyProtection="1">
      <alignment horizontal="center"/>
      <protection/>
    </xf>
    <xf numFmtId="0" fontId="48" fillId="0" borderId="33" xfId="55" applyFont="1" applyBorder="1" applyAlignment="1">
      <alignment horizontal="center" wrapText="1"/>
      <protection/>
    </xf>
    <xf numFmtId="172" fontId="51" fillId="0" borderId="66" xfId="55" applyNumberFormat="1" applyFont="1" applyBorder="1" applyAlignment="1" applyProtection="1">
      <alignment wrapText="1"/>
      <protection locked="0"/>
    </xf>
    <xf numFmtId="0" fontId="51" fillId="0" borderId="69" xfId="55" applyFont="1" applyBorder="1" applyAlignment="1">
      <alignment horizontal="left" wrapText="1"/>
      <protection/>
    </xf>
    <xf numFmtId="172" fontId="51" fillId="0" borderId="14" xfId="44" applyNumberFormat="1" applyFont="1" applyFill="1" applyBorder="1" applyAlignment="1" applyProtection="1">
      <alignment wrapText="1"/>
      <protection locked="0"/>
    </xf>
    <xf numFmtId="0" fontId="51" fillId="0" borderId="13" xfId="55" applyFont="1" applyBorder="1" applyAlignment="1" applyProtection="1">
      <alignment horizontal="center"/>
      <protection locked="0"/>
    </xf>
    <xf numFmtId="0" fontId="51" fillId="0" borderId="13" xfId="55" applyFont="1" applyBorder="1" applyAlignment="1">
      <alignment horizontal="left"/>
      <protection/>
    </xf>
    <xf numFmtId="0" fontId="54" fillId="0" borderId="66" xfId="55" applyFont="1" applyBorder="1" applyAlignment="1">
      <alignment/>
      <protection/>
    </xf>
    <xf numFmtId="0" fontId="48" fillId="0" borderId="14" xfId="55" applyFont="1" applyBorder="1" applyAlignment="1">
      <alignment horizontal="center" wrapText="1"/>
      <protection/>
    </xf>
    <xf numFmtId="0" fontId="51" fillId="0" borderId="14" xfId="55" applyFont="1" applyBorder="1" applyAlignment="1">
      <alignment horizontal="left"/>
      <protection/>
    </xf>
    <xf numFmtId="0" fontId="51" fillId="0" borderId="47" xfId="55" applyFont="1" applyBorder="1" applyAlignment="1">
      <alignment horizontal="left" wrapText="1"/>
      <protection/>
    </xf>
    <xf numFmtId="0" fontId="51" fillId="0" borderId="13" xfId="55" applyFont="1" applyBorder="1" applyAlignment="1" applyProtection="1">
      <alignment horizontal="center" wrapText="1"/>
      <protection locked="0"/>
    </xf>
    <xf numFmtId="0" fontId="54" fillId="0" borderId="70" xfId="55" applyFont="1" applyBorder="1" applyAlignment="1">
      <alignment horizontal="right" vertical="center"/>
      <protection/>
    </xf>
    <xf numFmtId="164" fontId="51" fillId="0" borderId="66" xfId="55" applyNumberFormat="1" applyFont="1" applyBorder="1" applyAlignment="1">
      <alignment horizontal="center"/>
      <protection/>
    </xf>
    <xf numFmtId="0" fontId="51" fillId="0" borderId="71" xfId="55" applyFont="1" applyBorder="1" applyAlignment="1">
      <alignment horizontal="left"/>
      <protection/>
    </xf>
    <xf numFmtId="0" fontId="54" fillId="0" borderId="71" xfId="55" applyFont="1" applyBorder="1" applyAlignment="1">
      <alignment horizontal="left"/>
      <protection/>
    </xf>
    <xf numFmtId="0" fontId="51" fillId="0" borderId="14" xfId="55" applyFont="1" applyBorder="1" applyAlignment="1" applyProtection="1">
      <alignment horizontal="center"/>
      <protection locked="0"/>
    </xf>
    <xf numFmtId="164" fontId="51" fillId="0" borderId="13" xfId="55" applyNumberFormat="1" applyFont="1" applyBorder="1" applyAlignment="1" applyProtection="1">
      <alignment horizontal="center"/>
      <protection locked="0"/>
    </xf>
    <xf numFmtId="164" fontId="51" fillId="0" borderId="72" xfId="55" applyNumberFormat="1" applyFont="1" applyBorder="1" applyAlignment="1" applyProtection="1">
      <alignment horizontal="center"/>
      <protection locked="0"/>
    </xf>
    <xf numFmtId="164" fontId="51" fillId="0" borderId="27" xfId="55" applyNumberFormat="1" applyFont="1" applyBorder="1" applyAlignment="1" applyProtection="1">
      <alignment horizontal="center"/>
      <protection locked="0"/>
    </xf>
    <xf numFmtId="164" fontId="51" fillId="0" borderId="73" xfId="55" applyNumberFormat="1" applyFont="1" applyBorder="1" applyAlignment="1" applyProtection="1">
      <alignment horizontal="center"/>
      <protection locked="0"/>
    </xf>
    <xf numFmtId="164" fontId="51" fillId="0" borderId="74" xfId="55" applyNumberFormat="1" applyFont="1" applyBorder="1" applyAlignment="1" applyProtection="1">
      <alignment horizontal="center"/>
      <protection locked="0"/>
    </xf>
    <xf numFmtId="0" fontId="2" fillId="0" borderId="41" xfId="55" applyFont="1" applyBorder="1" applyAlignment="1" applyProtection="1">
      <alignment horizontal="left"/>
      <protection locked="0"/>
    </xf>
    <xf numFmtId="0" fontId="51" fillId="0" borderId="41" xfId="55" applyFont="1" applyBorder="1" applyAlignment="1">
      <alignment horizontal="right"/>
      <protection/>
    </xf>
    <xf numFmtId="0" fontId="54" fillId="0" borderId="0" xfId="55" applyFont="1" applyBorder="1" applyAlignment="1" applyProtection="1">
      <alignment horizontal="center"/>
      <protection locked="0"/>
    </xf>
    <xf numFmtId="0" fontId="52" fillId="0" borderId="68" xfId="55" applyFont="1" applyBorder="1" applyAlignment="1">
      <alignment horizontal="left"/>
      <protection/>
    </xf>
    <xf numFmtId="0" fontId="52" fillId="0" borderId="68" xfId="55" applyFont="1" applyBorder="1" applyAlignment="1">
      <alignment horizontal="center"/>
      <protection/>
    </xf>
    <xf numFmtId="0" fontId="52" fillId="0" borderId="75" xfId="55" applyFont="1" applyBorder="1" applyAlignment="1">
      <alignment horizontal="center"/>
      <protection/>
    </xf>
    <xf numFmtId="0" fontId="52" fillId="0" borderId="66" xfId="55" applyFont="1" applyBorder="1" applyAlignment="1">
      <alignment horizontal="center"/>
      <protection/>
    </xf>
    <xf numFmtId="0" fontId="51" fillId="0" borderId="0" xfId="55" applyFont="1" applyBorder="1" applyAlignment="1">
      <alignment horizontal="left"/>
      <protection/>
    </xf>
    <xf numFmtId="0" fontId="51" fillId="0" borderId="10" xfId="55" applyFont="1" applyBorder="1" applyAlignment="1">
      <alignment horizontal="right"/>
      <protection/>
    </xf>
    <xf numFmtId="0" fontId="51" fillId="0" borderId="0" xfId="55" applyFont="1" applyBorder="1" applyAlignment="1">
      <alignment/>
      <protection/>
    </xf>
    <xf numFmtId="178" fontId="2" fillId="0" borderId="0" xfId="55" applyNumberFormat="1" applyFont="1" applyBorder="1" applyAlignment="1" applyProtection="1">
      <alignment horizontal="left"/>
      <protection locked="0"/>
    </xf>
    <xf numFmtId="0" fontId="2" fillId="0" borderId="0" xfId="55" applyNumberFormat="1" applyBorder="1" applyAlignment="1" applyProtection="1">
      <alignment horizontal="center"/>
      <protection locked="0"/>
    </xf>
    <xf numFmtId="0" fontId="2" fillId="0" borderId="0" xfId="55" applyFont="1" applyBorder="1" applyAlignment="1" applyProtection="1">
      <alignment horizontal="left"/>
      <protection locked="0"/>
    </xf>
    <xf numFmtId="0" fontId="48" fillId="0" borderId="0" xfId="55" applyFont="1" applyBorder="1" applyAlignment="1">
      <alignment/>
      <protection/>
    </xf>
    <xf numFmtId="0" fontId="48" fillId="0" borderId="14" xfId="55" applyFont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0" fontId="51" fillId="0" borderId="51" xfId="55" applyFont="1" applyBorder="1" applyAlignment="1">
      <alignment horizontal="center"/>
      <protection/>
    </xf>
    <xf numFmtId="0" fontId="51" fillId="0" borderId="76" xfId="55" applyFont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" fillId="0" borderId="0" xfId="55" applyNumberFormat="1" applyFont="1" applyBorder="1" applyAlignment="1" applyProtection="1">
      <alignment horizontal="left"/>
      <protection locked="0"/>
    </xf>
    <xf numFmtId="0" fontId="60" fillId="0" borderId="14" xfId="55" applyFont="1" applyBorder="1" applyAlignment="1" applyProtection="1">
      <alignment horizontal="center"/>
      <protection locked="0"/>
    </xf>
    <xf numFmtId="0" fontId="48" fillId="0" borderId="14" xfId="55" applyFont="1" applyBorder="1" applyAlignment="1">
      <alignment horizontal="center"/>
      <protection/>
    </xf>
    <xf numFmtId="172" fontId="46" fillId="0" borderId="0" xfId="44" applyNumberFormat="1" applyFont="1" applyFill="1" applyBorder="1" applyAlignment="1" applyProtection="1">
      <alignment horizontal="center"/>
      <protection/>
    </xf>
    <xf numFmtId="0" fontId="23" fillId="0" borderId="31" xfId="0" applyFont="1" applyBorder="1" applyAlignment="1">
      <alignment horizontal="center"/>
    </xf>
    <xf numFmtId="181" fontId="61" fillId="0" borderId="0" xfId="0" applyNumberFormat="1" applyFont="1" applyBorder="1" applyAlignment="1">
      <alignment horizontal="center"/>
    </xf>
    <xf numFmtId="174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172" fontId="23" fillId="0" borderId="0" xfId="44" applyNumberFormat="1" applyFont="1" applyFill="1" applyBorder="1" applyAlignment="1" applyProtection="1">
      <alignment horizontal="center"/>
      <protection/>
    </xf>
    <xf numFmtId="172" fontId="23" fillId="0" borderId="0" xfId="0" applyNumberFormat="1" applyFont="1" applyBorder="1" applyAlignment="1">
      <alignment horizontal="center"/>
    </xf>
    <xf numFmtId="175" fontId="44" fillId="19" borderId="21" xfId="0" applyNumberFormat="1" applyFont="1" applyFill="1" applyBorder="1" applyAlignment="1">
      <alignment/>
    </xf>
    <xf numFmtId="175" fontId="44" fillId="19" borderId="21" xfId="0" applyNumberFormat="1" applyFont="1" applyFill="1" applyBorder="1" applyAlignment="1">
      <alignment horizontal="left"/>
    </xf>
    <xf numFmtId="1" fontId="0" fillId="19" borderId="0" xfId="0" applyNumberFormat="1" applyFont="1" applyFill="1" applyBorder="1" applyAlignment="1">
      <alignment/>
    </xf>
    <xf numFmtId="9" fontId="0" fillId="19" borderId="0" xfId="0" applyNumberFormat="1" applyFont="1" applyFill="1" applyAlignment="1">
      <alignment/>
    </xf>
    <xf numFmtId="170" fontId="1" fillId="19" borderId="37" xfId="0" applyNumberFormat="1" applyFont="1" applyFill="1" applyBorder="1" applyAlignment="1">
      <alignment horizontal="left"/>
    </xf>
    <xf numFmtId="170" fontId="1" fillId="19" borderId="37" xfId="0" applyNumberFormat="1" applyFont="1" applyFill="1" applyBorder="1" applyAlignment="1">
      <alignment/>
    </xf>
    <xf numFmtId="164" fontId="1" fillId="19" borderId="22" xfId="0" applyNumberFormat="1" applyFont="1" applyFill="1" applyBorder="1" applyAlignment="1">
      <alignment/>
    </xf>
    <xf numFmtId="166" fontId="0" fillId="19" borderId="21" xfId="0" applyNumberFormat="1" applyFont="1" applyFill="1" applyBorder="1" applyAlignment="1">
      <alignment/>
    </xf>
    <xf numFmtId="0" fontId="0" fillId="19" borderId="38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40" xfId="0" applyFont="1" applyFill="1" applyBorder="1" applyAlignment="1">
      <alignment/>
    </xf>
    <xf numFmtId="164" fontId="1" fillId="19" borderId="25" xfId="0" applyNumberFormat="1" applyFont="1" applyFill="1" applyBorder="1" applyAlignment="1">
      <alignment/>
    </xf>
    <xf numFmtId="1" fontId="23" fillId="19" borderId="0" xfId="0" applyNumberFormat="1" applyFont="1" applyFill="1" applyAlignment="1">
      <alignment/>
    </xf>
    <xf numFmtId="175" fontId="1" fillId="19" borderId="0" xfId="0" applyNumberFormat="1" applyFont="1" applyFill="1" applyBorder="1" applyAlignment="1">
      <alignment horizontal="left"/>
    </xf>
    <xf numFmtId="170" fontId="1" fillId="19" borderId="22" xfId="0" applyNumberFormat="1" applyFont="1" applyFill="1" applyBorder="1" applyAlignment="1">
      <alignment horizontal="left"/>
    </xf>
    <xf numFmtId="170" fontId="1" fillId="19" borderId="22" xfId="0" applyNumberFormat="1" applyFon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166" fontId="0" fillId="19" borderId="0" xfId="0" applyNumberFormat="1" applyFont="1" applyFill="1" applyAlignment="1">
      <alignment/>
    </xf>
    <xf numFmtId="0" fontId="0" fillId="19" borderId="26" xfId="0" applyFont="1" applyFill="1" applyBorder="1" applyAlignment="1">
      <alignment/>
    </xf>
    <xf numFmtId="0" fontId="0" fillId="19" borderId="27" xfId="0" applyFont="1" applyFill="1" applyBorder="1" applyAlignment="1">
      <alignment/>
    </xf>
    <xf numFmtId="0" fontId="0" fillId="19" borderId="28" xfId="0" applyFont="1" applyFill="1" applyBorder="1" applyAlignment="1">
      <alignment/>
    </xf>
    <xf numFmtId="164" fontId="0" fillId="19" borderId="29" xfId="0" applyNumberFormat="1" applyFont="1" applyFill="1" applyBorder="1" applyAlignment="1">
      <alignment/>
    </xf>
    <xf numFmtId="0" fontId="23" fillId="19" borderId="0" xfId="0" applyFont="1" applyFill="1" applyAlignment="1">
      <alignment/>
    </xf>
    <xf numFmtId="0" fontId="0" fillId="19" borderId="0" xfId="0" applyFont="1" applyFill="1" applyAlignment="1">
      <alignment/>
    </xf>
    <xf numFmtId="164" fontId="0" fillId="19" borderId="0" xfId="0" applyNumberFormat="1" applyFont="1" applyFill="1" applyAlignment="1">
      <alignment/>
    </xf>
    <xf numFmtId="175" fontId="1" fillId="19" borderId="30" xfId="0" applyNumberFormat="1" applyFont="1" applyFill="1" applyBorder="1" applyAlignment="1">
      <alignment horizontal="left"/>
    </xf>
    <xf numFmtId="0" fontId="0" fillId="19" borderId="30" xfId="0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5" fontId="1" fillId="19" borderId="0" xfId="0" applyNumberFormat="1" applyFont="1" applyFill="1" applyBorder="1" applyAlignment="1">
      <alignment/>
    </xf>
    <xf numFmtId="175" fontId="1" fillId="19" borderId="0" xfId="0" applyNumberFormat="1" applyFont="1" applyFill="1" applyBorder="1" applyAlignment="1">
      <alignment horizontal="right"/>
    </xf>
    <xf numFmtId="164" fontId="1" fillId="19" borderId="32" xfId="0" applyNumberFormat="1" applyFont="1" applyFill="1" applyBorder="1" applyAlignment="1">
      <alignment/>
    </xf>
    <xf numFmtId="0" fontId="0" fillId="19" borderId="0" xfId="0" applyFont="1" applyFill="1" applyAlignment="1">
      <alignment/>
    </xf>
    <xf numFmtId="164" fontId="1" fillId="19" borderId="0" xfId="0" applyNumberFormat="1" applyFont="1" applyFill="1" applyAlignment="1">
      <alignment/>
    </xf>
    <xf numFmtId="0" fontId="1" fillId="19" borderId="0" xfId="0" applyNumberFormat="1" applyFont="1" applyFill="1" applyAlignment="1">
      <alignment/>
    </xf>
    <xf numFmtId="164" fontId="0" fillId="19" borderId="20" xfId="0" applyNumberFormat="1" applyFont="1" applyFill="1" applyBorder="1" applyAlignment="1">
      <alignment/>
    </xf>
    <xf numFmtId="175" fontId="44" fillId="19" borderId="0" xfId="0" applyNumberFormat="1" applyFont="1" applyFill="1" applyBorder="1" applyAlignment="1">
      <alignment/>
    </xf>
    <xf numFmtId="175" fontId="1" fillId="19" borderId="0" xfId="0" applyNumberFormat="1" applyFont="1" applyFill="1" applyBorder="1" applyAlignment="1">
      <alignment/>
    </xf>
    <xf numFmtId="175" fontId="23" fillId="19" borderId="0" xfId="0" applyNumberFormat="1" applyFont="1" applyFill="1" applyAlignment="1">
      <alignment/>
    </xf>
    <xf numFmtId="175" fontId="44" fillId="19" borderId="0" xfId="0" applyNumberFormat="1" applyFont="1" applyFill="1" applyBorder="1" applyAlignment="1">
      <alignment horizontal="left"/>
    </xf>
    <xf numFmtId="9" fontId="0" fillId="19" borderId="0" xfId="0" applyNumberFormat="1" applyFont="1" applyFill="1" applyBorder="1" applyAlignment="1">
      <alignment/>
    </xf>
    <xf numFmtId="170" fontId="1" fillId="19" borderId="14" xfId="0" applyNumberFormat="1" applyFont="1" applyFill="1" applyBorder="1" applyAlignment="1">
      <alignment horizontal="left"/>
    </xf>
    <xf numFmtId="170" fontId="1" fillId="19" borderId="14" xfId="0" applyNumberFormat="1" applyFont="1" applyFill="1" applyBorder="1" applyAlignment="1">
      <alignment/>
    </xf>
    <xf numFmtId="166" fontId="0" fillId="19" borderId="0" xfId="0" applyNumberFormat="1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9" borderId="34" xfId="0" applyFont="1" applyFill="1" applyBorder="1" applyAlignment="1">
      <alignment/>
    </xf>
    <xf numFmtId="0" fontId="0" fillId="19" borderId="35" xfId="0" applyFont="1" applyFill="1" applyBorder="1" applyAlignment="1">
      <alignment/>
    </xf>
    <xf numFmtId="164" fontId="1" fillId="19" borderId="36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8">
    <dxf>
      <font>
        <b/>
        <i/>
        <strike/>
      </font>
    </dxf>
    <dxf>
      <font>
        <b/>
        <i/>
        <strike/>
      </font>
    </dxf>
    <dxf>
      <font>
        <b/>
        <i val="0"/>
        <strike val="0"/>
        <color indexed="1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</dxf>
    <dxf>
      <font>
        <b/>
        <i/>
        <strike/>
      </font>
    </dxf>
    <dxf>
      <font>
        <b/>
        <i/>
        <strike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  <strike/>
      </font>
    </dxf>
    <dxf>
      <font>
        <b/>
        <i/>
        <strike/>
      </font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/>
        <i/>
        <strike/>
      </font>
      <border/>
    </dxf>
    <dxf>
      <font>
        <b/>
        <i val="0"/>
        <strike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104775</xdr:colOff>
      <xdr:row>0</xdr:row>
      <xdr:rowOff>561975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104775</xdr:colOff>
      <xdr:row>0</xdr:row>
      <xdr:rowOff>561975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104775</xdr:colOff>
      <xdr:row>0</xdr:row>
      <xdr:rowOff>561975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Gerard\AppData\Local\Microsoft\Windows\Temporary%20Internet%20Files\Content.Outlook\J1Q5D5JZ\knzb%20figurenwedstrijd%20Senio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NZB-NB3\Dropbox\NK%20(1)\Junioren%20wedstrijd%20formulier%2029-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eblad"/>
      <sheetName val="gegevens en namen"/>
      <sheetName val="invullen cijfers"/>
      <sheetName val="programma"/>
      <sheetName val="uitslagen"/>
      <sheetName val="IF-formuli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 gegevens"/>
      <sheetName val="Invoeren"/>
      <sheetName val="Startlijst"/>
      <sheetName val="Uitslag figuren"/>
      <sheetName val="Uitslag Ranking"/>
      <sheetName val="IFform"/>
      <sheetName val="Jun Fig1"/>
      <sheetName val="Jun Fig2"/>
      <sheetName val="Jun Fig3"/>
      <sheetName val="Jun Fig4"/>
      <sheetName val="Figuren"/>
    </sheetNames>
    <sheetDataSet>
      <sheetData sheetId="0">
        <row r="27">
          <cell r="C27" t="str">
            <v>1998 en 1999</v>
          </cell>
          <cell r="D27" t="str">
            <v>1996 en 1997</v>
          </cell>
          <cell r="F27" t="str">
            <v>Brons</v>
          </cell>
        </row>
      </sheetData>
      <sheetData sheetId="1">
        <row r="1">
          <cell r="K1" t="str">
            <v>Prestatie</v>
          </cell>
          <cell r="M1">
            <v>0</v>
          </cell>
          <cell r="N1" t="str">
            <v>Limieten:</v>
          </cell>
          <cell r="O1">
            <v>0</v>
          </cell>
        </row>
        <row r="2">
          <cell r="K2">
            <v>60</v>
          </cell>
        </row>
        <row r="3">
          <cell r="G3" t="str">
            <v>Diploma punten</v>
          </cell>
          <cell r="H3">
            <v>52</v>
          </cell>
          <cell r="N3">
            <v>55</v>
          </cell>
        </row>
        <row r="4">
          <cell r="N4">
            <v>53</v>
          </cell>
        </row>
        <row r="7">
          <cell r="A7">
            <v>1</v>
          </cell>
          <cell r="B7">
            <v>1</v>
          </cell>
        </row>
        <row r="8">
          <cell r="A8">
            <v>2</v>
          </cell>
          <cell r="B8">
            <v>1</v>
          </cell>
        </row>
        <row r="9">
          <cell r="A9">
            <v>3</v>
          </cell>
          <cell r="B9">
            <v>1</v>
          </cell>
        </row>
        <row r="10">
          <cell r="A10">
            <v>4</v>
          </cell>
          <cell r="B10">
            <v>1</v>
          </cell>
        </row>
        <row r="11">
          <cell r="A11">
            <v>5</v>
          </cell>
          <cell r="B11">
            <v>1</v>
          </cell>
        </row>
        <row r="12">
          <cell r="A12">
            <v>6</v>
          </cell>
          <cell r="B12">
            <v>1</v>
          </cell>
        </row>
        <row r="13">
          <cell r="A13">
            <v>7</v>
          </cell>
          <cell r="B13">
            <v>1</v>
          </cell>
        </row>
        <row r="14">
          <cell r="A14">
            <v>8</v>
          </cell>
          <cell r="B14">
            <v>1</v>
          </cell>
        </row>
        <row r="15">
          <cell r="A15">
            <v>9</v>
          </cell>
          <cell r="B15">
            <v>1</v>
          </cell>
        </row>
        <row r="16">
          <cell r="A16">
            <v>10</v>
          </cell>
          <cell r="B16">
            <v>1</v>
          </cell>
        </row>
        <row r="17">
          <cell r="A17">
            <v>11</v>
          </cell>
          <cell r="B17">
            <v>1</v>
          </cell>
        </row>
        <row r="18">
          <cell r="A18">
            <v>12</v>
          </cell>
          <cell r="B18">
            <v>1</v>
          </cell>
        </row>
        <row r="19">
          <cell r="A19">
            <v>13</v>
          </cell>
          <cell r="B19">
            <v>1</v>
          </cell>
        </row>
        <row r="20">
          <cell r="A20">
            <v>14</v>
          </cell>
          <cell r="B20">
            <v>1</v>
          </cell>
        </row>
        <row r="21">
          <cell r="A21">
            <v>15</v>
          </cell>
          <cell r="B21">
            <v>1</v>
          </cell>
        </row>
        <row r="22">
          <cell r="A22">
            <v>16</v>
          </cell>
          <cell r="B22">
            <v>1</v>
          </cell>
        </row>
        <row r="23">
          <cell r="A23">
            <v>17</v>
          </cell>
          <cell r="B23">
            <v>1</v>
          </cell>
        </row>
        <row r="24">
          <cell r="A24">
            <v>18</v>
          </cell>
          <cell r="B24">
            <v>1</v>
          </cell>
        </row>
        <row r="25">
          <cell r="A25">
            <v>19</v>
          </cell>
          <cell r="B25">
            <v>1</v>
          </cell>
        </row>
        <row r="26">
          <cell r="A26">
            <v>20</v>
          </cell>
          <cell r="B26">
            <v>1</v>
          </cell>
          <cell r="C26">
            <v>0</v>
          </cell>
        </row>
        <row r="27">
          <cell r="A27">
            <v>21</v>
          </cell>
          <cell r="B27">
            <v>1</v>
          </cell>
          <cell r="C27">
            <v>0</v>
          </cell>
        </row>
        <row r="28">
          <cell r="A28">
            <v>22</v>
          </cell>
          <cell r="B28">
            <v>1</v>
          </cell>
          <cell r="C28">
            <v>0</v>
          </cell>
        </row>
        <row r="29">
          <cell r="A29">
            <v>23</v>
          </cell>
          <cell r="B29">
            <v>1</v>
          </cell>
          <cell r="C29">
            <v>0</v>
          </cell>
        </row>
        <row r="30">
          <cell r="A30">
            <v>24</v>
          </cell>
          <cell r="B30">
            <v>1</v>
          </cell>
          <cell r="C30">
            <v>0</v>
          </cell>
        </row>
        <row r="31">
          <cell r="A31">
            <v>25</v>
          </cell>
          <cell r="B31">
            <v>1</v>
          </cell>
          <cell r="C31">
            <v>0</v>
          </cell>
        </row>
        <row r="32">
          <cell r="A32">
            <v>26</v>
          </cell>
          <cell r="B32">
            <v>1</v>
          </cell>
          <cell r="C32">
            <v>0</v>
          </cell>
        </row>
        <row r="33">
          <cell r="A33">
            <v>27</v>
          </cell>
          <cell r="B33">
            <v>1</v>
          </cell>
          <cell r="C33">
            <v>0</v>
          </cell>
        </row>
        <row r="34">
          <cell r="A34">
            <v>28</v>
          </cell>
          <cell r="B34">
            <v>1</v>
          </cell>
          <cell r="C34">
            <v>0</v>
          </cell>
        </row>
        <row r="35">
          <cell r="A35">
            <v>29</v>
          </cell>
          <cell r="B35">
            <v>1</v>
          </cell>
          <cell r="C35">
            <v>0</v>
          </cell>
        </row>
        <row r="36">
          <cell r="A36">
            <v>30</v>
          </cell>
          <cell r="B36">
            <v>1</v>
          </cell>
          <cell r="C36">
            <v>0</v>
          </cell>
        </row>
        <row r="37">
          <cell r="A37">
            <v>31</v>
          </cell>
          <cell r="B37">
            <v>1</v>
          </cell>
          <cell r="C37">
            <v>0</v>
          </cell>
        </row>
        <row r="38">
          <cell r="A38">
            <v>32</v>
          </cell>
          <cell r="B38">
            <v>1</v>
          </cell>
          <cell r="C38">
            <v>0</v>
          </cell>
        </row>
        <row r="39">
          <cell r="A39">
            <v>33</v>
          </cell>
          <cell r="B39">
            <v>1</v>
          </cell>
          <cell r="C39">
            <v>0</v>
          </cell>
        </row>
        <row r="40">
          <cell r="A40">
            <v>34</v>
          </cell>
          <cell r="B40">
            <v>1</v>
          </cell>
          <cell r="C40">
            <v>0</v>
          </cell>
        </row>
        <row r="41">
          <cell r="A41">
            <v>35</v>
          </cell>
          <cell r="B41">
            <v>1</v>
          </cell>
          <cell r="C41">
            <v>0</v>
          </cell>
        </row>
        <row r="42">
          <cell r="A42">
            <v>36</v>
          </cell>
          <cell r="B42">
            <v>1</v>
          </cell>
          <cell r="C42">
            <v>0</v>
          </cell>
        </row>
        <row r="43">
          <cell r="A43">
            <v>37</v>
          </cell>
          <cell r="B43">
            <v>1</v>
          </cell>
          <cell r="C43">
            <v>0</v>
          </cell>
        </row>
        <row r="44">
          <cell r="A44">
            <v>38</v>
          </cell>
          <cell r="B44">
            <v>1</v>
          </cell>
          <cell r="C44">
            <v>0</v>
          </cell>
        </row>
        <row r="45">
          <cell r="A45">
            <v>39</v>
          </cell>
          <cell r="B45">
            <v>1</v>
          </cell>
          <cell r="C45">
            <v>0</v>
          </cell>
        </row>
        <row r="46">
          <cell r="A46">
            <v>40</v>
          </cell>
          <cell r="B46">
            <v>1</v>
          </cell>
          <cell r="C46">
            <v>0</v>
          </cell>
        </row>
        <row r="47">
          <cell r="A47">
            <v>41</v>
          </cell>
          <cell r="B47">
            <v>1</v>
          </cell>
          <cell r="C47">
            <v>0</v>
          </cell>
        </row>
        <row r="48">
          <cell r="A48">
            <v>42</v>
          </cell>
          <cell r="B48">
            <v>1</v>
          </cell>
          <cell r="C48">
            <v>0</v>
          </cell>
        </row>
        <row r="49">
          <cell r="A49">
            <v>43</v>
          </cell>
          <cell r="B49">
            <v>1</v>
          </cell>
          <cell r="C49">
            <v>0</v>
          </cell>
        </row>
        <row r="50">
          <cell r="A50">
            <v>44</v>
          </cell>
          <cell r="B50">
            <v>1</v>
          </cell>
          <cell r="C50">
            <v>0</v>
          </cell>
        </row>
        <row r="51">
          <cell r="A51">
            <v>45</v>
          </cell>
          <cell r="B51">
            <v>1</v>
          </cell>
          <cell r="C51">
            <v>0</v>
          </cell>
        </row>
        <row r="52">
          <cell r="A52">
            <v>46</v>
          </cell>
          <cell r="B52">
            <v>1</v>
          </cell>
          <cell r="C52">
            <v>0</v>
          </cell>
        </row>
        <row r="53">
          <cell r="A53">
            <v>47</v>
          </cell>
          <cell r="B53">
            <v>1</v>
          </cell>
          <cell r="C53">
            <v>0</v>
          </cell>
        </row>
        <row r="54">
          <cell r="A54">
            <v>48</v>
          </cell>
          <cell r="B54">
            <v>1</v>
          </cell>
          <cell r="C54">
            <v>0</v>
          </cell>
        </row>
        <row r="55">
          <cell r="A55">
            <v>49</v>
          </cell>
          <cell r="B55">
            <v>1</v>
          </cell>
          <cell r="C55">
            <v>0</v>
          </cell>
        </row>
        <row r="56">
          <cell r="A56">
            <v>50</v>
          </cell>
          <cell r="B56">
            <v>1</v>
          </cell>
          <cell r="C56">
            <v>0</v>
          </cell>
        </row>
        <row r="57">
          <cell r="A57">
            <v>51</v>
          </cell>
          <cell r="B57">
            <v>1</v>
          </cell>
          <cell r="C57">
            <v>0</v>
          </cell>
        </row>
        <row r="58">
          <cell r="A58">
            <v>52</v>
          </cell>
          <cell r="B58">
            <v>1</v>
          </cell>
          <cell r="C58">
            <v>0</v>
          </cell>
        </row>
        <row r="59">
          <cell r="A59">
            <v>53</v>
          </cell>
          <cell r="B59">
            <v>1</v>
          </cell>
          <cell r="C59">
            <v>0</v>
          </cell>
        </row>
        <row r="60">
          <cell r="A60">
            <v>54</v>
          </cell>
          <cell r="B60">
            <v>1</v>
          </cell>
          <cell r="C60">
            <v>0</v>
          </cell>
        </row>
        <row r="61">
          <cell r="A61">
            <v>55</v>
          </cell>
          <cell r="B61">
            <v>1</v>
          </cell>
          <cell r="C61">
            <v>0</v>
          </cell>
        </row>
        <row r="62">
          <cell r="A62">
            <v>56</v>
          </cell>
          <cell r="B62">
            <v>1</v>
          </cell>
          <cell r="C62">
            <v>0</v>
          </cell>
        </row>
        <row r="63">
          <cell r="A63">
            <v>57</v>
          </cell>
          <cell r="B63">
            <v>1</v>
          </cell>
          <cell r="C63">
            <v>0</v>
          </cell>
        </row>
        <row r="64">
          <cell r="A64">
            <v>58</v>
          </cell>
          <cell r="B64">
            <v>1</v>
          </cell>
          <cell r="C64">
            <v>0</v>
          </cell>
        </row>
        <row r="65">
          <cell r="A65">
            <v>59</v>
          </cell>
          <cell r="B65">
            <v>1</v>
          </cell>
          <cell r="C65">
            <v>0</v>
          </cell>
        </row>
        <row r="66">
          <cell r="A66">
            <v>60</v>
          </cell>
          <cell r="B66">
            <v>1</v>
          </cell>
          <cell r="C66">
            <v>0</v>
          </cell>
        </row>
        <row r="67">
          <cell r="A67">
            <v>61</v>
          </cell>
          <cell r="B67">
            <v>1</v>
          </cell>
          <cell r="C67">
            <v>0</v>
          </cell>
        </row>
        <row r="68">
          <cell r="A68">
            <v>62</v>
          </cell>
          <cell r="B68" t="str">
            <v>BM</v>
          </cell>
          <cell r="C68">
            <v>0</v>
          </cell>
        </row>
        <row r="69">
          <cell r="A69">
            <v>63</v>
          </cell>
          <cell r="B69">
            <v>1</v>
          </cell>
          <cell r="C69">
            <v>0</v>
          </cell>
        </row>
        <row r="70">
          <cell r="A70">
            <v>64</v>
          </cell>
          <cell r="B70">
            <v>1</v>
          </cell>
          <cell r="C70">
            <v>0</v>
          </cell>
        </row>
        <row r="71">
          <cell r="A71">
            <v>65</v>
          </cell>
          <cell r="B71">
            <v>1</v>
          </cell>
          <cell r="C71">
            <v>0</v>
          </cell>
        </row>
        <row r="72">
          <cell r="A72">
            <v>66</v>
          </cell>
          <cell r="B72">
            <v>1</v>
          </cell>
          <cell r="C72">
            <v>0</v>
          </cell>
        </row>
        <row r="73">
          <cell r="A73">
            <v>67</v>
          </cell>
          <cell r="B73">
            <v>1</v>
          </cell>
          <cell r="C73">
            <v>0</v>
          </cell>
        </row>
        <row r="74">
          <cell r="A74">
            <v>68</v>
          </cell>
          <cell r="B74">
            <v>1</v>
          </cell>
          <cell r="C74">
            <v>0</v>
          </cell>
        </row>
        <row r="75">
          <cell r="A75">
            <v>69</v>
          </cell>
          <cell r="B75">
            <v>1</v>
          </cell>
          <cell r="C75">
            <v>0</v>
          </cell>
        </row>
        <row r="76">
          <cell r="A76">
            <v>70</v>
          </cell>
          <cell r="B76">
            <v>1</v>
          </cell>
          <cell r="C76">
            <v>0</v>
          </cell>
        </row>
        <row r="77">
          <cell r="A77">
            <v>71</v>
          </cell>
          <cell r="B77">
            <v>1</v>
          </cell>
          <cell r="C77">
            <v>0</v>
          </cell>
        </row>
        <row r="78">
          <cell r="A78">
            <v>72</v>
          </cell>
          <cell r="B78">
            <v>1</v>
          </cell>
          <cell r="C78">
            <v>0</v>
          </cell>
        </row>
        <row r="79">
          <cell r="A79">
            <v>73</v>
          </cell>
          <cell r="B79">
            <v>1</v>
          </cell>
          <cell r="C79">
            <v>0</v>
          </cell>
        </row>
        <row r="80">
          <cell r="A80">
            <v>74</v>
          </cell>
          <cell r="B80">
            <v>1</v>
          </cell>
          <cell r="C80">
            <v>0</v>
          </cell>
        </row>
        <row r="81">
          <cell r="A81">
            <v>75</v>
          </cell>
          <cell r="B81">
            <v>1</v>
          </cell>
          <cell r="C81">
            <v>0</v>
          </cell>
        </row>
        <row r="82">
          <cell r="A82">
            <v>76</v>
          </cell>
          <cell r="B82">
            <v>1</v>
          </cell>
          <cell r="C82">
            <v>0</v>
          </cell>
        </row>
        <row r="83">
          <cell r="A83">
            <v>77</v>
          </cell>
          <cell r="B83">
            <v>1</v>
          </cell>
          <cell r="C83">
            <v>0</v>
          </cell>
        </row>
        <row r="84">
          <cell r="A84">
            <v>78</v>
          </cell>
          <cell r="B84">
            <v>1</v>
          </cell>
          <cell r="C84">
            <v>0</v>
          </cell>
        </row>
        <row r="85">
          <cell r="A85">
            <v>79</v>
          </cell>
          <cell r="B85">
            <v>1</v>
          </cell>
          <cell r="C85">
            <v>0</v>
          </cell>
        </row>
        <row r="86">
          <cell r="A86">
            <v>80</v>
          </cell>
          <cell r="B86">
            <v>1</v>
          </cell>
          <cell r="C86">
            <v>0</v>
          </cell>
        </row>
        <row r="87">
          <cell r="A87">
            <v>81</v>
          </cell>
          <cell r="B87">
            <v>1</v>
          </cell>
          <cell r="C87">
            <v>0</v>
          </cell>
        </row>
        <row r="88">
          <cell r="A88">
            <v>82</v>
          </cell>
          <cell r="B88">
            <v>1</v>
          </cell>
          <cell r="C88">
            <v>0</v>
          </cell>
        </row>
        <row r="89">
          <cell r="A89">
            <v>83</v>
          </cell>
          <cell r="B89">
            <v>1</v>
          </cell>
          <cell r="C89">
            <v>0</v>
          </cell>
        </row>
        <row r="90">
          <cell r="A90">
            <v>84</v>
          </cell>
          <cell r="B90">
            <v>1</v>
          </cell>
          <cell r="C90">
            <v>0</v>
          </cell>
        </row>
        <row r="91">
          <cell r="A91">
            <v>85</v>
          </cell>
          <cell r="B91">
            <v>1</v>
          </cell>
          <cell r="C91">
            <v>0</v>
          </cell>
        </row>
        <row r="92">
          <cell r="A92">
            <v>86</v>
          </cell>
          <cell r="B92">
            <v>1</v>
          </cell>
          <cell r="C92">
            <v>0</v>
          </cell>
        </row>
        <row r="93">
          <cell r="A93">
            <v>87</v>
          </cell>
          <cell r="B93">
            <v>1</v>
          </cell>
          <cell r="C93">
            <v>0</v>
          </cell>
        </row>
        <row r="94">
          <cell r="A94">
            <v>88</v>
          </cell>
          <cell r="B94">
            <v>1</v>
          </cell>
          <cell r="C94">
            <v>0</v>
          </cell>
        </row>
        <row r="95">
          <cell r="A95">
            <v>89</v>
          </cell>
          <cell r="B95">
            <v>1</v>
          </cell>
          <cell r="C95">
            <v>0</v>
          </cell>
        </row>
        <row r="96">
          <cell r="A96">
            <v>90</v>
          </cell>
          <cell r="B96">
            <v>1</v>
          </cell>
          <cell r="C96">
            <v>0</v>
          </cell>
        </row>
        <row r="97">
          <cell r="A97">
            <v>91</v>
          </cell>
          <cell r="B97">
            <v>1</v>
          </cell>
          <cell r="C97">
            <v>0</v>
          </cell>
        </row>
        <row r="98">
          <cell r="A98">
            <v>92</v>
          </cell>
          <cell r="B98">
            <v>1</v>
          </cell>
          <cell r="C98">
            <v>0</v>
          </cell>
        </row>
        <row r="99">
          <cell r="A99">
            <v>93</v>
          </cell>
          <cell r="B99">
            <v>1</v>
          </cell>
          <cell r="C99">
            <v>0</v>
          </cell>
        </row>
        <row r="100">
          <cell r="A100">
            <v>94</v>
          </cell>
          <cell r="B100">
            <v>1</v>
          </cell>
          <cell r="C100">
            <v>0</v>
          </cell>
        </row>
        <row r="101">
          <cell r="A101">
            <v>95</v>
          </cell>
          <cell r="B101">
            <v>1</v>
          </cell>
          <cell r="C101">
            <v>0</v>
          </cell>
        </row>
        <row r="102">
          <cell r="A102">
            <v>96</v>
          </cell>
          <cell r="B102">
            <v>1</v>
          </cell>
          <cell r="C102">
            <v>0</v>
          </cell>
        </row>
        <row r="103">
          <cell r="A103">
            <v>97</v>
          </cell>
          <cell r="B103">
            <v>1</v>
          </cell>
          <cell r="C103">
            <v>0</v>
          </cell>
        </row>
        <row r="104">
          <cell r="A104">
            <v>98</v>
          </cell>
          <cell r="B104">
            <v>1</v>
          </cell>
          <cell r="C104">
            <v>0</v>
          </cell>
        </row>
        <row r="105">
          <cell r="A105">
            <v>99</v>
          </cell>
          <cell r="B105">
            <v>1</v>
          </cell>
          <cell r="C105">
            <v>0</v>
          </cell>
        </row>
        <row r="106">
          <cell r="A106">
            <v>100</v>
          </cell>
          <cell r="B106">
            <v>1</v>
          </cell>
          <cell r="C106">
            <v>0</v>
          </cell>
        </row>
        <row r="107">
          <cell r="A107">
            <v>101</v>
          </cell>
          <cell r="B107">
            <v>1</v>
          </cell>
          <cell r="C107">
            <v>0</v>
          </cell>
        </row>
        <row r="108">
          <cell r="A108">
            <v>102</v>
          </cell>
          <cell r="B108">
            <v>1</v>
          </cell>
          <cell r="C108">
            <v>0</v>
          </cell>
        </row>
        <row r="109">
          <cell r="A109">
            <v>103</v>
          </cell>
          <cell r="B109">
            <v>1</v>
          </cell>
          <cell r="C109">
            <v>0</v>
          </cell>
        </row>
        <row r="110">
          <cell r="A110">
            <v>104</v>
          </cell>
          <cell r="B110">
            <v>1</v>
          </cell>
          <cell r="C110">
            <v>0</v>
          </cell>
        </row>
        <row r="111">
          <cell r="A111">
            <v>105</v>
          </cell>
          <cell r="B111">
            <v>1</v>
          </cell>
          <cell r="C111">
            <v>0</v>
          </cell>
        </row>
        <row r="112">
          <cell r="A112">
            <v>106</v>
          </cell>
          <cell r="B112">
            <v>1</v>
          </cell>
          <cell r="C112">
            <v>0</v>
          </cell>
        </row>
        <row r="113">
          <cell r="A113">
            <v>107</v>
          </cell>
          <cell r="B113">
            <v>1</v>
          </cell>
          <cell r="C113">
            <v>0</v>
          </cell>
        </row>
        <row r="114">
          <cell r="A114">
            <v>108</v>
          </cell>
          <cell r="B114">
            <v>1</v>
          </cell>
          <cell r="C114">
            <v>0</v>
          </cell>
        </row>
        <row r="115">
          <cell r="A115">
            <v>109</v>
          </cell>
          <cell r="B115">
            <v>1</v>
          </cell>
          <cell r="C115">
            <v>0</v>
          </cell>
        </row>
        <row r="116">
          <cell r="A116">
            <v>110</v>
          </cell>
          <cell r="B116">
            <v>1</v>
          </cell>
          <cell r="C116">
            <v>0</v>
          </cell>
        </row>
        <row r="117">
          <cell r="A117">
            <v>111</v>
          </cell>
          <cell r="B117">
            <v>1</v>
          </cell>
          <cell r="C117">
            <v>0</v>
          </cell>
        </row>
        <row r="118">
          <cell r="A118">
            <v>112</v>
          </cell>
          <cell r="B118">
            <v>1</v>
          </cell>
          <cell r="C118">
            <v>0</v>
          </cell>
        </row>
        <row r="119">
          <cell r="A119">
            <v>113</v>
          </cell>
          <cell r="B119">
            <v>1</v>
          </cell>
          <cell r="C119">
            <v>0</v>
          </cell>
        </row>
        <row r="120">
          <cell r="A120">
            <v>114</v>
          </cell>
          <cell r="B120">
            <v>1</v>
          </cell>
          <cell r="C120">
            <v>0</v>
          </cell>
        </row>
        <row r="121">
          <cell r="A121">
            <v>115</v>
          </cell>
          <cell r="B121">
            <v>1</v>
          </cell>
          <cell r="C121">
            <v>0</v>
          </cell>
        </row>
        <row r="122">
          <cell r="A122">
            <v>116</v>
          </cell>
          <cell r="B122">
            <v>1</v>
          </cell>
          <cell r="C122">
            <v>0</v>
          </cell>
        </row>
        <row r="123">
          <cell r="A123">
            <v>117</v>
          </cell>
          <cell r="B123">
            <v>1</v>
          </cell>
          <cell r="C123">
            <v>0</v>
          </cell>
        </row>
        <row r="124">
          <cell r="A124">
            <v>118</v>
          </cell>
          <cell r="B124">
            <v>1</v>
          </cell>
          <cell r="C124">
            <v>0</v>
          </cell>
        </row>
        <row r="125">
          <cell r="A125">
            <v>119</v>
          </cell>
          <cell r="B125">
            <v>1</v>
          </cell>
          <cell r="C125">
            <v>0</v>
          </cell>
        </row>
        <row r="126">
          <cell r="A126">
            <v>120</v>
          </cell>
          <cell r="B126">
            <v>1</v>
          </cell>
          <cell r="C126">
            <v>0</v>
          </cell>
        </row>
        <row r="127">
          <cell r="A127">
            <v>121</v>
          </cell>
          <cell r="B127">
            <v>1</v>
          </cell>
          <cell r="C127">
            <v>0</v>
          </cell>
        </row>
        <row r="128">
          <cell r="A128">
            <v>122</v>
          </cell>
          <cell r="B128">
            <v>1</v>
          </cell>
          <cell r="C128">
            <v>0</v>
          </cell>
        </row>
        <row r="129">
          <cell r="A129">
            <v>123</v>
          </cell>
          <cell r="B129">
            <v>1</v>
          </cell>
          <cell r="C129">
            <v>0</v>
          </cell>
        </row>
        <row r="130">
          <cell r="A130">
            <v>124</v>
          </cell>
          <cell r="B130">
            <v>1</v>
          </cell>
          <cell r="C130">
            <v>0</v>
          </cell>
        </row>
        <row r="131">
          <cell r="A131">
            <v>125</v>
          </cell>
          <cell r="B131">
            <v>1</v>
          </cell>
          <cell r="C131">
            <v>0</v>
          </cell>
        </row>
        <row r="132">
          <cell r="A132">
            <v>126</v>
          </cell>
          <cell r="B132">
            <v>1</v>
          </cell>
          <cell r="C132">
            <v>0</v>
          </cell>
        </row>
        <row r="133">
          <cell r="A133">
            <v>127</v>
          </cell>
          <cell r="B133">
            <v>1</v>
          </cell>
          <cell r="C133">
            <v>0</v>
          </cell>
        </row>
        <row r="134">
          <cell r="A134">
            <v>128</v>
          </cell>
          <cell r="B134">
            <v>1</v>
          </cell>
          <cell r="C134">
            <v>0</v>
          </cell>
        </row>
        <row r="135">
          <cell r="A135">
            <v>129</v>
          </cell>
          <cell r="B135">
            <v>1</v>
          </cell>
          <cell r="C135">
            <v>0</v>
          </cell>
        </row>
        <row r="136">
          <cell r="A136">
            <v>130</v>
          </cell>
          <cell r="B136">
            <v>1</v>
          </cell>
          <cell r="C136">
            <v>0</v>
          </cell>
        </row>
        <row r="137">
          <cell r="A137">
            <v>131</v>
          </cell>
          <cell r="B137">
            <v>1</v>
          </cell>
          <cell r="C137">
            <v>0</v>
          </cell>
        </row>
        <row r="138">
          <cell r="A138">
            <v>132</v>
          </cell>
          <cell r="B138">
            <v>1</v>
          </cell>
          <cell r="C138">
            <v>0</v>
          </cell>
        </row>
        <row r="139">
          <cell r="A139">
            <v>133</v>
          </cell>
          <cell r="B139">
            <v>1</v>
          </cell>
          <cell r="C139">
            <v>0</v>
          </cell>
        </row>
        <row r="140">
          <cell r="A140">
            <v>134</v>
          </cell>
          <cell r="B140">
            <v>1</v>
          </cell>
          <cell r="C140">
            <v>0</v>
          </cell>
        </row>
        <row r="141">
          <cell r="A141">
            <v>135</v>
          </cell>
          <cell r="B141">
            <v>1</v>
          </cell>
          <cell r="C141">
            <v>0</v>
          </cell>
        </row>
        <row r="142">
          <cell r="A142">
            <v>136</v>
          </cell>
          <cell r="B142">
            <v>1</v>
          </cell>
          <cell r="C142">
            <v>0</v>
          </cell>
        </row>
        <row r="143">
          <cell r="A143">
            <v>137</v>
          </cell>
          <cell r="B143">
            <v>1</v>
          </cell>
          <cell r="C143">
            <v>0</v>
          </cell>
        </row>
        <row r="144">
          <cell r="A144">
            <v>138</v>
          </cell>
          <cell r="B144">
            <v>1</v>
          </cell>
          <cell r="C144">
            <v>0</v>
          </cell>
        </row>
        <row r="145">
          <cell r="A145">
            <v>139</v>
          </cell>
          <cell r="B145">
            <v>1</v>
          </cell>
          <cell r="C145">
            <v>0</v>
          </cell>
        </row>
        <row r="146">
          <cell r="A146">
            <v>140</v>
          </cell>
          <cell r="B146">
            <v>1</v>
          </cell>
          <cell r="C146">
            <v>0</v>
          </cell>
        </row>
        <row r="147">
          <cell r="A147">
            <v>141</v>
          </cell>
          <cell r="B147">
            <v>1</v>
          </cell>
          <cell r="C147">
            <v>0</v>
          </cell>
        </row>
        <row r="148">
          <cell r="A148">
            <v>142</v>
          </cell>
          <cell r="B148">
            <v>1</v>
          </cell>
          <cell r="C148">
            <v>0</v>
          </cell>
        </row>
        <row r="149">
          <cell r="A149">
            <v>143</v>
          </cell>
          <cell r="B149">
            <v>1</v>
          </cell>
          <cell r="C149">
            <v>0</v>
          </cell>
        </row>
        <row r="150">
          <cell r="A150">
            <v>144</v>
          </cell>
          <cell r="B150">
            <v>1</v>
          </cell>
          <cell r="C150">
            <v>0</v>
          </cell>
        </row>
        <row r="151">
          <cell r="A151">
            <v>145</v>
          </cell>
          <cell r="B151">
            <v>1</v>
          </cell>
          <cell r="C151">
            <v>0</v>
          </cell>
        </row>
        <row r="152">
          <cell r="A152">
            <v>146</v>
          </cell>
          <cell r="B152">
            <v>1</v>
          </cell>
          <cell r="C152">
            <v>0</v>
          </cell>
        </row>
        <row r="153">
          <cell r="A153">
            <v>147</v>
          </cell>
          <cell r="B153">
            <v>1</v>
          </cell>
          <cell r="C153">
            <v>0</v>
          </cell>
        </row>
        <row r="154">
          <cell r="A154">
            <v>148</v>
          </cell>
          <cell r="B154">
            <v>1</v>
          </cell>
          <cell r="C154">
            <v>0</v>
          </cell>
          <cell r="I154">
            <v>0</v>
          </cell>
        </row>
        <row r="155">
          <cell r="A155">
            <v>149</v>
          </cell>
          <cell r="B155">
            <v>1</v>
          </cell>
          <cell r="C155">
            <v>0</v>
          </cell>
          <cell r="I155">
            <v>0</v>
          </cell>
        </row>
        <row r="156">
          <cell r="A156">
            <v>150</v>
          </cell>
          <cell r="B156">
            <v>1</v>
          </cell>
          <cell r="C156">
            <v>0</v>
          </cell>
          <cell r="I156">
            <v>0</v>
          </cell>
        </row>
        <row r="157">
          <cell r="A157">
            <v>151</v>
          </cell>
          <cell r="B157">
            <v>1</v>
          </cell>
          <cell r="C157">
            <v>0</v>
          </cell>
          <cell r="I157">
            <v>0</v>
          </cell>
        </row>
        <row r="158">
          <cell r="A158">
            <v>152</v>
          </cell>
          <cell r="B158">
            <v>1</v>
          </cell>
          <cell r="C158">
            <v>0</v>
          </cell>
          <cell r="I158">
            <v>0</v>
          </cell>
        </row>
        <row r="159">
          <cell r="A159">
            <v>153</v>
          </cell>
          <cell r="B159">
            <v>1</v>
          </cell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154</v>
          </cell>
          <cell r="B160">
            <v>1</v>
          </cell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155</v>
          </cell>
          <cell r="B161">
            <v>1</v>
          </cell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156</v>
          </cell>
          <cell r="B162">
            <v>1</v>
          </cell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157</v>
          </cell>
          <cell r="B163">
            <v>1</v>
          </cell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158</v>
          </cell>
          <cell r="B164">
            <v>1</v>
          </cell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159</v>
          </cell>
          <cell r="B165">
            <v>1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160</v>
          </cell>
          <cell r="B166">
            <v>1</v>
          </cell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161</v>
          </cell>
          <cell r="B167">
            <v>1</v>
          </cell>
          <cell r="C167">
            <v>0</v>
          </cell>
          <cell r="D167">
            <v>0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162</v>
          </cell>
          <cell r="B168">
            <v>1</v>
          </cell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163</v>
          </cell>
          <cell r="B169">
            <v>1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164</v>
          </cell>
          <cell r="B170">
            <v>1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165</v>
          </cell>
          <cell r="B171">
            <v>1</v>
          </cell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166</v>
          </cell>
          <cell r="B172">
            <v>1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167</v>
          </cell>
          <cell r="B173">
            <v>1</v>
          </cell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168</v>
          </cell>
          <cell r="B174">
            <v>1</v>
          </cell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169</v>
          </cell>
          <cell r="B175">
            <v>1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170</v>
          </cell>
          <cell r="B176">
            <v>1</v>
          </cell>
          <cell r="C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171</v>
          </cell>
          <cell r="B177">
            <v>1</v>
          </cell>
          <cell r="C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172</v>
          </cell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173</v>
          </cell>
          <cell r="B179">
            <v>1</v>
          </cell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174</v>
          </cell>
          <cell r="B180">
            <v>1</v>
          </cell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175</v>
          </cell>
          <cell r="B181">
            <v>1</v>
          </cell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176</v>
          </cell>
          <cell r="B182">
            <v>1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177</v>
          </cell>
          <cell r="B183">
            <v>1</v>
          </cell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178</v>
          </cell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179</v>
          </cell>
          <cell r="B185">
            <v>1</v>
          </cell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180</v>
          </cell>
          <cell r="B186">
            <v>1</v>
          </cell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181</v>
          </cell>
          <cell r="B187">
            <v>1</v>
          </cell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182</v>
          </cell>
          <cell r="B188">
            <v>1</v>
          </cell>
          <cell r="C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183</v>
          </cell>
          <cell r="B189">
            <v>1</v>
          </cell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184</v>
          </cell>
          <cell r="B190">
            <v>1</v>
          </cell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185</v>
          </cell>
          <cell r="B191">
            <v>1</v>
          </cell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186</v>
          </cell>
          <cell r="B192">
            <v>1</v>
          </cell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187</v>
          </cell>
          <cell r="B193">
            <v>1</v>
          </cell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188</v>
          </cell>
          <cell r="B194">
            <v>1</v>
          </cell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189</v>
          </cell>
          <cell r="B195">
            <v>1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190</v>
          </cell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191</v>
          </cell>
          <cell r="B197">
            <v>1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192</v>
          </cell>
          <cell r="B198">
            <v>1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193</v>
          </cell>
          <cell r="B199">
            <v>1</v>
          </cell>
          <cell r="C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194</v>
          </cell>
          <cell r="B200">
            <v>1</v>
          </cell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195</v>
          </cell>
          <cell r="B201">
            <v>1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196</v>
          </cell>
          <cell r="B202">
            <v>1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197</v>
          </cell>
          <cell r="B203">
            <v>1</v>
          </cell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198</v>
          </cell>
          <cell r="B204">
            <v>1</v>
          </cell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199</v>
          </cell>
          <cell r="B205">
            <v>1</v>
          </cell>
          <cell r="C205">
            <v>0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200</v>
          </cell>
          <cell r="B206">
            <v>1</v>
          </cell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201</v>
          </cell>
          <cell r="B207">
            <v>1</v>
          </cell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202</v>
          </cell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203</v>
          </cell>
          <cell r="B209">
            <v>1</v>
          </cell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204</v>
          </cell>
          <cell r="B210">
            <v>1</v>
          </cell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205</v>
          </cell>
          <cell r="B211">
            <v>1</v>
          </cell>
          <cell r="C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206</v>
          </cell>
          <cell r="B212">
            <v>1</v>
          </cell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207</v>
          </cell>
          <cell r="B213">
            <v>1</v>
          </cell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208</v>
          </cell>
          <cell r="B214">
            <v>1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209</v>
          </cell>
          <cell r="B215">
            <v>1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210</v>
          </cell>
          <cell r="B216">
            <v>1</v>
          </cell>
          <cell r="C216">
            <v>0</v>
          </cell>
          <cell r="D216">
            <v>0</v>
          </cell>
          <cell r="E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211</v>
          </cell>
          <cell r="B217">
            <v>1</v>
          </cell>
          <cell r="C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212</v>
          </cell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213</v>
          </cell>
          <cell r="B219">
            <v>1</v>
          </cell>
          <cell r="C219">
            <v>0</v>
          </cell>
          <cell r="D219">
            <v>0</v>
          </cell>
          <cell r="E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214</v>
          </cell>
          <cell r="B220">
            <v>1</v>
          </cell>
          <cell r="C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215</v>
          </cell>
          <cell r="B221">
            <v>1</v>
          </cell>
          <cell r="C221">
            <v>0</v>
          </cell>
          <cell r="D221">
            <v>0</v>
          </cell>
          <cell r="E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216</v>
          </cell>
          <cell r="B222">
            <v>1</v>
          </cell>
          <cell r="C222">
            <v>0</v>
          </cell>
          <cell r="D222">
            <v>0</v>
          </cell>
          <cell r="E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217</v>
          </cell>
          <cell r="B223">
            <v>1</v>
          </cell>
          <cell r="C223">
            <v>0</v>
          </cell>
          <cell r="D223">
            <v>0</v>
          </cell>
          <cell r="E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218</v>
          </cell>
          <cell r="B224">
            <v>1</v>
          </cell>
          <cell r="C224">
            <v>0</v>
          </cell>
          <cell r="D224">
            <v>0</v>
          </cell>
          <cell r="E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219</v>
          </cell>
          <cell r="B225">
            <v>1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220</v>
          </cell>
          <cell r="B226">
            <v>1</v>
          </cell>
          <cell r="C226">
            <v>0</v>
          </cell>
          <cell r="D226">
            <v>0</v>
          </cell>
          <cell r="E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221</v>
          </cell>
          <cell r="B227">
            <v>1</v>
          </cell>
          <cell r="C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222</v>
          </cell>
          <cell r="B228">
            <v>1</v>
          </cell>
          <cell r="C228">
            <v>0</v>
          </cell>
          <cell r="D228">
            <v>0</v>
          </cell>
          <cell r="E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223</v>
          </cell>
          <cell r="B229">
            <v>1</v>
          </cell>
          <cell r="C229">
            <v>0</v>
          </cell>
          <cell r="D229">
            <v>0</v>
          </cell>
          <cell r="E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224</v>
          </cell>
          <cell r="B230">
            <v>1</v>
          </cell>
          <cell r="C230">
            <v>0</v>
          </cell>
          <cell r="D230">
            <v>0</v>
          </cell>
          <cell r="E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225</v>
          </cell>
          <cell r="B231">
            <v>1</v>
          </cell>
          <cell r="C231">
            <v>0</v>
          </cell>
          <cell r="D231">
            <v>0</v>
          </cell>
          <cell r="E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226</v>
          </cell>
          <cell r="B232">
            <v>1</v>
          </cell>
          <cell r="C232">
            <v>0</v>
          </cell>
          <cell r="D232">
            <v>0</v>
          </cell>
          <cell r="E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227</v>
          </cell>
          <cell r="B233">
            <v>1</v>
          </cell>
          <cell r="C233">
            <v>0</v>
          </cell>
          <cell r="D233">
            <v>0</v>
          </cell>
          <cell r="E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228</v>
          </cell>
          <cell r="B234">
            <v>1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229</v>
          </cell>
          <cell r="B235">
            <v>1</v>
          </cell>
          <cell r="C235">
            <v>0</v>
          </cell>
          <cell r="D235">
            <v>0</v>
          </cell>
          <cell r="E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230</v>
          </cell>
          <cell r="B236">
            <v>1</v>
          </cell>
          <cell r="C236">
            <v>0</v>
          </cell>
          <cell r="D236">
            <v>0</v>
          </cell>
          <cell r="E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231</v>
          </cell>
          <cell r="B237">
            <v>1</v>
          </cell>
          <cell r="C237">
            <v>0</v>
          </cell>
          <cell r="D237">
            <v>0</v>
          </cell>
          <cell r="E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232</v>
          </cell>
          <cell r="B238">
            <v>1</v>
          </cell>
          <cell r="C238">
            <v>0</v>
          </cell>
          <cell r="D238">
            <v>0</v>
          </cell>
          <cell r="E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233</v>
          </cell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234</v>
          </cell>
          <cell r="B240">
            <v>1</v>
          </cell>
          <cell r="C240">
            <v>0</v>
          </cell>
          <cell r="D240">
            <v>0</v>
          </cell>
          <cell r="E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235</v>
          </cell>
          <cell r="B241">
            <v>1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236</v>
          </cell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237</v>
          </cell>
          <cell r="B243">
            <v>1</v>
          </cell>
          <cell r="C243">
            <v>0</v>
          </cell>
          <cell r="D243">
            <v>0</v>
          </cell>
          <cell r="E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238</v>
          </cell>
          <cell r="B244">
            <v>1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239</v>
          </cell>
          <cell r="B245">
            <v>1</v>
          </cell>
          <cell r="C245">
            <v>0</v>
          </cell>
          <cell r="D245">
            <v>0</v>
          </cell>
          <cell r="E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240</v>
          </cell>
          <cell r="B246">
            <v>1</v>
          </cell>
          <cell r="C246">
            <v>0</v>
          </cell>
          <cell r="D246">
            <v>0</v>
          </cell>
          <cell r="E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241</v>
          </cell>
          <cell r="B247">
            <v>1</v>
          </cell>
          <cell r="C247">
            <v>0</v>
          </cell>
          <cell r="D247">
            <v>0</v>
          </cell>
          <cell r="E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242</v>
          </cell>
          <cell r="B248">
            <v>1</v>
          </cell>
          <cell r="C248">
            <v>0</v>
          </cell>
          <cell r="D248">
            <v>0</v>
          </cell>
          <cell r="E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243</v>
          </cell>
          <cell r="B249">
            <v>1</v>
          </cell>
          <cell r="C249">
            <v>0</v>
          </cell>
          <cell r="D249">
            <v>0</v>
          </cell>
          <cell r="E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244</v>
          </cell>
          <cell r="B250">
            <v>1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245</v>
          </cell>
          <cell r="B251">
            <v>1</v>
          </cell>
          <cell r="C251">
            <v>0</v>
          </cell>
          <cell r="D251">
            <v>0</v>
          </cell>
          <cell r="E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246</v>
          </cell>
          <cell r="B252">
            <v>1</v>
          </cell>
          <cell r="C252">
            <v>0</v>
          </cell>
          <cell r="D252">
            <v>0</v>
          </cell>
          <cell r="E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247</v>
          </cell>
          <cell r="B253">
            <v>1</v>
          </cell>
          <cell r="C253">
            <v>0</v>
          </cell>
          <cell r="D253">
            <v>0</v>
          </cell>
          <cell r="E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248</v>
          </cell>
          <cell r="B254">
            <v>1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249</v>
          </cell>
          <cell r="B255">
            <v>1</v>
          </cell>
          <cell r="C255">
            <v>0</v>
          </cell>
          <cell r="D255">
            <v>0</v>
          </cell>
          <cell r="E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250</v>
          </cell>
          <cell r="B256">
            <v>1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I256">
            <v>0</v>
          </cell>
        </row>
      </sheetData>
      <sheetData sheetId="2">
        <row r="6">
          <cell r="A6">
            <v>1</v>
          </cell>
          <cell r="B6" t="str">
            <v>308 Barracuda airborne split</v>
          </cell>
          <cell r="D6">
            <v>2.8</v>
          </cell>
        </row>
        <row r="7">
          <cell r="A7">
            <v>2</v>
          </cell>
          <cell r="B7" t="str">
            <v>355g Bruinvis twist spin</v>
          </cell>
          <cell r="D7">
            <v>2.6</v>
          </cell>
        </row>
        <row r="8">
          <cell r="A8">
            <v>3</v>
          </cell>
          <cell r="B8" t="str">
            <v>112f Ibis continuous spin (720°)</v>
          </cell>
          <cell r="D8">
            <v>2.8</v>
          </cell>
        </row>
        <row r="9">
          <cell r="A9">
            <v>4</v>
          </cell>
          <cell r="B9" t="str">
            <v>325 Jupiter</v>
          </cell>
          <cell r="D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IV42"/>
  <sheetViews>
    <sheetView showZeros="0" view="pageBreakPreview" zoomScaleSheetLayoutView="100" zoomScalePageLayoutView="0" workbookViewId="0" topLeftCell="A1">
      <pane xSplit="4" ySplit="4" topLeftCell="T5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T11" sqref="AT11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9.75390625" style="0" customWidth="1"/>
    <col min="4" max="6" width="21.00390625" style="0" customWidth="1"/>
    <col min="7" max="7" width="32.875" style="0" customWidth="1"/>
    <col min="8" max="8" width="11.25390625" style="0" customWidth="1"/>
    <col min="9" max="9" width="6.25390625" style="0" customWidth="1"/>
    <col min="10" max="10" width="32.875" style="0" customWidth="1"/>
    <col min="11" max="11" width="9.875" style="0" customWidth="1"/>
    <col min="12" max="12" width="6.25390625" style="0" customWidth="1"/>
    <col min="14" max="14" width="6.25390625" style="0" customWidth="1"/>
    <col min="15" max="15" width="9.25390625" style="0" customWidth="1"/>
    <col min="16" max="16" width="7.125" style="0" customWidth="1"/>
    <col min="17" max="17" width="9.25390625" style="0" customWidth="1"/>
    <col min="18" max="18" width="7.125" style="0" customWidth="1"/>
    <col min="19" max="24" width="4.125" style="1" customWidth="1"/>
    <col min="25" max="28" width="4.375" style="1" customWidth="1"/>
    <col min="29" max="29" width="7.125" style="1" customWidth="1"/>
    <col min="30" max="30" width="8.125" style="1" customWidth="1"/>
    <col min="31" max="31" width="4.625" style="1" customWidth="1"/>
    <col min="32" max="36" width="4.125" style="1" customWidth="1"/>
    <col min="37" max="37" width="4.125" style="2" customWidth="1"/>
    <col min="38" max="41" width="4.375" style="2" customWidth="1"/>
    <col min="42" max="42" width="7.125" style="2" customWidth="1"/>
    <col min="43" max="43" width="8.125" style="2" customWidth="1"/>
    <col min="44" max="44" width="5.00390625" style="2" customWidth="1"/>
    <col min="45" max="49" width="4.125" style="1" customWidth="1"/>
    <col min="50" max="50" width="4.125" style="2" customWidth="1"/>
    <col min="51" max="54" width="4.375" style="2" customWidth="1"/>
    <col min="55" max="55" width="7.125" style="2" customWidth="1"/>
    <col min="56" max="56" width="8.125" style="2" customWidth="1"/>
    <col min="57" max="57" width="4.625" style="2" customWidth="1"/>
    <col min="58" max="59" width="6.875" style="0" customWidth="1"/>
    <col min="60" max="61" width="9.375" style="0" customWidth="1"/>
    <col min="62" max="62" width="9.75390625" style="0" customWidth="1"/>
    <col min="63" max="63" width="10.375" style="0" customWidth="1"/>
    <col min="64" max="66" width="9.375" style="0" customWidth="1"/>
    <col min="67" max="68" width="7.625" style="0" customWidth="1"/>
    <col min="71" max="71" width="6.375" style="0" customWidth="1"/>
    <col min="72" max="72" width="7.25390625" style="0" customWidth="1"/>
    <col min="74" max="74" width="5.75390625" style="0" customWidth="1"/>
  </cols>
  <sheetData>
    <row r="1" spans="1:66" ht="12.75">
      <c r="A1" s="3"/>
      <c r="B1" s="3"/>
      <c r="C1" s="4">
        <v>50</v>
      </c>
      <c r="D1" s="5" t="s">
        <v>0</v>
      </c>
      <c r="E1" s="5"/>
      <c r="F1" s="5"/>
      <c r="G1" s="6" t="s">
        <v>1</v>
      </c>
      <c r="H1" s="3">
        <f>COUNTIF(H5:H34,"&gt;0")</f>
        <v>3</v>
      </c>
      <c r="I1" s="3"/>
      <c r="J1" s="3"/>
      <c r="K1" s="3"/>
      <c r="L1" s="3"/>
      <c r="M1" s="7" t="s">
        <v>2</v>
      </c>
      <c r="O1" s="3"/>
      <c r="P1" s="3"/>
      <c r="Q1" s="3"/>
      <c r="R1" s="3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8"/>
      <c r="AT1" s="8"/>
      <c r="AU1" s="8"/>
      <c r="AV1" s="8"/>
      <c r="AW1" s="8"/>
      <c r="AX1" s="9"/>
      <c r="AY1" s="9"/>
      <c r="AZ1" s="9"/>
      <c r="BA1" s="9"/>
      <c r="BB1" s="9"/>
      <c r="BC1" s="9"/>
      <c r="BD1" s="9"/>
      <c r="BE1" s="9"/>
      <c r="BL1" s="7"/>
      <c r="BM1" s="7"/>
      <c r="BN1" s="7"/>
    </row>
    <row r="2" spans="1:68" ht="12.75">
      <c r="A2" s="10"/>
      <c r="B2" s="10"/>
      <c r="C2" s="4">
        <v>50</v>
      </c>
      <c r="D2" s="5" t="s">
        <v>3</v>
      </c>
      <c r="E2" s="5"/>
      <c r="F2" s="5"/>
      <c r="H2" s="3"/>
      <c r="I2" s="3"/>
      <c r="J2" s="3"/>
      <c r="K2" s="3"/>
      <c r="L2" s="3"/>
      <c r="M2" s="8" t="s">
        <v>4</v>
      </c>
      <c r="O2" s="3"/>
      <c r="P2" s="3"/>
      <c r="Q2" s="3"/>
      <c r="R2" s="3"/>
      <c r="S2" s="359" t="s">
        <v>5</v>
      </c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60" t="s">
        <v>6</v>
      </c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1" t="s">
        <v>7</v>
      </c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8"/>
      <c r="BG2" s="8"/>
      <c r="BL2" s="8"/>
      <c r="BM2" s="8"/>
      <c r="BN2" s="8"/>
      <c r="BO2" s="11"/>
      <c r="BP2" s="11"/>
    </row>
    <row r="3" spans="1:68" ht="15.75">
      <c r="A3" s="12" t="s">
        <v>8</v>
      </c>
      <c r="C3" s="4">
        <v>0</v>
      </c>
      <c r="D3" s="5" t="s">
        <v>9</v>
      </c>
      <c r="E3" s="10"/>
      <c r="F3" s="10"/>
      <c r="G3" s="362" t="s">
        <v>10</v>
      </c>
      <c r="H3" s="362"/>
      <c r="I3" s="362"/>
      <c r="J3" s="363" t="s">
        <v>11</v>
      </c>
      <c r="K3" s="363"/>
      <c r="L3" s="363"/>
      <c r="M3" s="8" t="s">
        <v>12</v>
      </c>
      <c r="N3" s="3"/>
      <c r="O3" s="3"/>
      <c r="P3" s="3"/>
      <c r="Q3" s="3"/>
      <c r="R3" s="13"/>
      <c r="S3" s="364" t="s">
        <v>13</v>
      </c>
      <c r="T3" s="364"/>
      <c r="U3" s="364"/>
      <c r="V3" s="364"/>
      <c r="W3" s="364"/>
      <c r="X3" s="365" t="s">
        <v>14</v>
      </c>
      <c r="Y3" s="365"/>
      <c r="Z3" s="365"/>
      <c r="AA3" s="365"/>
      <c r="AB3" s="365"/>
      <c r="AC3" s="365"/>
      <c r="AD3" s="14">
        <v>0.3</v>
      </c>
      <c r="AE3" s="15"/>
      <c r="AF3" s="364" t="s">
        <v>13</v>
      </c>
      <c r="AG3" s="364"/>
      <c r="AH3" s="364"/>
      <c r="AI3" s="364"/>
      <c r="AJ3" s="364"/>
      <c r="AK3" s="366" t="s">
        <v>14</v>
      </c>
      <c r="AL3" s="366"/>
      <c r="AM3" s="366"/>
      <c r="AN3" s="366"/>
      <c r="AO3" s="366"/>
      <c r="AP3" s="366"/>
      <c r="AQ3" s="16">
        <v>0.4</v>
      </c>
      <c r="AR3" s="17"/>
      <c r="AS3" s="364" t="s">
        <v>13</v>
      </c>
      <c r="AT3" s="364"/>
      <c r="AU3" s="364"/>
      <c r="AV3" s="364"/>
      <c r="AW3" s="364"/>
      <c r="AX3" s="18" t="s">
        <v>14</v>
      </c>
      <c r="AY3" s="19"/>
      <c r="AZ3" s="19"/>
      <c r="BA3" s="19"/>
      <c r="BB3" s="19"/>
      <c r="BC3" s="19"/>
      <c r="BD3" s="20">
        <v>0.3</v>
      </c>
      <c r="BE3" s="21"/>
      <c r="BF3" s="358"/>
      <c r="BG3" s="358"/>
      <c r="BH3" s="22"/>
      <c r="BI3" s="22"/>
      <c r="BJ3" s="22"/>
      <c r="BK3" s="22"/>
      <c r="BL3" s="8"/>
      <c r="BM3" s="8"/>
      <c r="BN3" s="8"/>
      <c r="BO3" s="23"/>
      <c r="BP3" s="23"/>
    </row>
    <row r="4" spans="1:74" ht="34.5" customHeight="1">
      <c r="A4" s="24" t="s">
        <v>15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22</v>
      </c>
      <c r="I4" s="25" t="s">
        <v>23</v>
      </c>
      <c r="J4" s="24" t="s">
        <v>24</v>
      </c>
      <c r="K4" s="24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25" t="s">
        <v>30</v>
      </c>
      <c r="Q4" s="25" t="s">
        <v>31</v>
      </c>
      <c r="R4" s="25" t="s">
        <v>32</v>
      </c>
      <c r="S4" s="26" t="s">
        <v>33</v>
      </c>
      <c r="T4" s="27" t="s">
        <v>34</v>
      </c>
      <c r="U4" s="27" t="s">
        <v>35</v>
      </c>
      <c r="V4" s="27" t="s">
        <v>36</v>
      </c>
      <c r="W4" s="27" t="s">
        <v>37</v>
      </c>
      <c r="X4" s="28" t="s">
        <v>33</v>
      </c>
      <c r="Y4" s="29" t="s">
        <v>34</v>
      </c>
      <c r="Z4" s="29" t="s">
        <v>35</v>
      </c>
      <c r="AA4" s="29" t="s">
        <v>36</v>
      </c>
      <c r="AB4" s="29" t="s">
        <v>37</v>
      </c>
      <c r="AC4" s="29" t="s">
        <v>38</v>
      </c>
      <c r="AD4" s="30" t="s">
        <v>39</v>
      </c>
      <c r="AE4" s="31" t="s">
        <v>40</v>
      </c>
      <c r="AF4" s="26" t="s">
        <v>33</v>
      </c>
      <c r="AG4" s="27" t="s">
        <v>34</v>
      </c>
      <c r="AH4" s="27" t="s">
        <v>35</v>
      </c>
      <c r="AI4" s="27" t="s">
        <v>36</v>
      </c>
      <c r="AJ4" s="27" t="s">
        <v>37</v>
      </c>
      <c r="AK4" s="32" t="s">
        <v>33</v>
      </c>
      <c r="AL4" s="33" t="s">
        <v>34</v>
      </c>
      <c r="AM4" s="33" t="s">
        <v>35</v>
      </c>
      <c r="AN4" s="33" t="s">
        <v>36</v>
      </c>
      <c r="AO4" s="33" t="s">
        <v>37</v>
      </c>
      <c r="AP4" s="33" t="s">
        <v>38</v>
      </c>
      <c r="AQ4" s="34" t="s">
        <v>41</v>
      </c>
      <c r="AR4" s="35" t="s">
        <v>42</v>
      </c>
      <c r="AS4" s="26" t="s">
        <v>33</v>
      </c>
      <c r="AT4" s="27" t="s">
        <v>34</v>
      </c>
      <c r="AU4" s="27" t="s">
        <v>35</v>
      </c>
      <c r="AV4" s="27" t="s">
        <v>36</v>
      </c>
      <c r="AW4" s="27" t="s">
        <v>37</v>
      </c>
      <c r="AX4" s="36" t="s">
        <v>33</v>
      </c>
      <c r="AY4" s="37" t="s">
        <v>34</v>
      </c>
      <c r="AZ4" s="37" t="s">
        <v>35</v>
      </c>
      <c r="BA4" s="37" t="s">
        <v>36</v>
      </c>
      <c r="BB4" s="37" t="s">
        <v>37</v>
      </c>
      <c r="BC4" s="37" t="s">
        <v>38</v>
      </c>
      <c r="BD4" s="38" t="s">
        <v>43</v>
      </c>
      <c r="BE4" s="39" t="s">
        <v>44</v>
      </c>
      <c r="BF4" s="40" t="s">
        <v>45</v>
      </c>
      <c r="BG4" s="41" t="s">
        <v>46</v>
      </c>
      <c r="BH4" s="41" t="s">
        <v>47</v>
      </c>
      <c r="BI4" s="41" t="str">
        <f>CONCATENATE(C3,"% Tech. Uitvoering")</f>
        <v>0% Tech. Uitvoering</v>
      </c>
      <c r="BJ4" s="41" t="str">
        <f>CONCATENATE(C2,"% uitvoering")</f>
        <v>50% uitvoering</v>
      </c>
      <c r="BK4" s="41" t="str">
        <f>CONCATENATE(C1,"% Techniek")</f>
        <v>50% Techniek</v>
      </c>
      <c r="BL4" s="41" t="s">
        <v>48</v>
      </c>
      <c r="BM4" s="40" t="s">
        <v>49</v>
      </c>
      <c r="BN4" s="40" t="s">
        <v>50</v>
      </c>
      <c r="BO4" s="42" t="s">
        <v>49</v>
      </c>
      <c r="BP4" s="42" t="s">
        <v>50</v>
      </c>
      <c r="BQ4" s="43" t="s">
        <v>51</v>
      </c>
      <c r="BR4" s="43" t="s">
        <v>52</v>
      </c>
      <c r="BS4" s="43" t="s">
        <v>53</v>
      </c>
      <c r="BT4" s="43" t="s">
        <v>54</v>
      </c>
      <c r="BU4" s="43" t="s">
        <v>55</v>
      </c>
      <c r="BV4" s="43" t="s">
        <v>56</v>
      </c>
    </row>
    <row r="5" spans="1:75" ht="12.75">
      <c r="A5" s="8">
        <v>1</v>
      </c>
      <c r="B5" s="24">
        <f aca="true" t="shared" si="0" ref="B5:B34">IF(N5="BM","BM",RANK(BL5,BL$5:BL$34))</f>
        <v>1</v>
      </c>
      <c r="C5" s="44">
        <f aca="true" t="shared" si="1" ref="C5:C34">SUM(BI5:BK5)</f>
        <v>54.914500000000004</v>
      </c>
      <c r="D5" s="45" t="str">
        <f>IF(ISNA(VLOOKUP($H5,UitslagFig!$C$5:$K$251,1,FALSE)),"",VLOOKUP($H5,UitslagFig!$C$5:$K$251,3,FALSE))</f>
        <v>ZV Brunssum</v>
      </c>
      <c r="E5" s="45" t="s">
        <v>57</v>
      </c>
      <c r="F5" s="45" t="s">
        <v>58</v>
      </c>
      <c r="G5" s="45" t="str">
        <f>IF(ISNA(VLOOKUP($H5,UitslagFig!$C$5:$K$251,1,FALSE)),"",VLOOKUP($H5,UitslagFig!$C$5:$K$251,2,FALSE))</f>
        <v>Rachel Hochstenbach</v>
      </c>
      <c r="H5" s="46">
        <v>200202062</v>
      </c>
      <c r="I5" s="47" t="s">
        <v>2</v>
      </c>
      <c r="J5" s="45">
        <f>IF(ISNA(VLOOKUP($K5,UitslagFig!$C$5:$K$251,1,FALSE)),"",VLOOKUP($K5,UitslagFig!$C$5:$K$251,2,FALSE))</f>
        <v>0</v>
      </c>
      <c r="K5" s="45"/>
      <c r="L5" s="47"/>
      <c r="M5" s="48" t="str">
        <f>IF(ISNA(VLOOKUP($H5,UitslagFig!$C$5:$K$251,1,FALSE)),"",VLOOKUP($H5,UitslagFig!$C$5:$K$251,5,FALSE))</f>
        <v>Limburg</v>
      </c>
      <c r="N5" s="49"/>
      <c r="O5" s="50">
        <v>0</v>
      </c>
      <c r="P5" s="24">
        <f aca="true" t="shared" si="2" ref="P5:P34">IF(O5&gt;0,RANK(O5,O$5:O$34),"")</f>
      </c>
      <c r="Q5" s="51">
        <f aca="true" t="shared" si="3" ref="Q5:Q34">BH5</f>
        <v>55.4333</v>
      </c>
      <c r="R5" s="24">
        <f aca="true" t="shared" si="4" ref="R5:R34">IF(Q5&gt;0,RANK(Q5,Q$5:Q$34),"")</f>
        <v>1</v>
      </c>
      <c r="S5" s="52">
        <v>53</v>
      </c>
      <c r="T5" s="53">
        <v>55</v>
      </c>
      <c r="U5" s="53">
        <v>50</v>
      </c>
      <c r="V5" s="53">
        <v>54</v>
      </c>
      <c r="W5" s="53">
        <v>55</v>
      </c>
      <c r="X5" s="54">
        <f aca="true" t="shared" si="5" ref="X5:X34">+S5/10</f>
        <v>5.3</v>
      </c>
      <c r="Y5" s="55">
        <f aca="true" t="shared" si="6" ref="Y5:Y34">+T5/10</f>
        <v>5.5</v>
      </c>
      <c r="Z5" s="55">
        <f aca="true" t="shared" si="7" ref="Z5:Z34">+U5/10</f>
        <v>5</v>
      </c>
      <c r="AA5" s="55">
        <f aca="true" t="shared" si="8" ref="AA5:AA34">+V5/10</f>
        <v>5.4</v>
      </c>
      <c r="AB5" s="55">
        <f aca="true" t="shared" si="9" ref="AB5:AB34">+W5/10</f>
        <v>5.5</v>
      </c>
      <c r="AC5" s="56">
        <f aca="true" t="shared" si="10" ref="AC5:AC34">SUM(X5:AB5)-MAX(X5:AB5)-MIN(X5:AB5)</f>
        <v>16.200000000000003</v>
      </c>
      <c r="AD5" s="57">
        <f aca="true" t="shared" si="11" ref="AD5:AD34">ROUND(AC5/3*10*$AD$3,4)</f>
        <v>16.2</v>
      </c>
      <c r="AE5" s="58">
        <f aca="true" t="shared" si="12" ref="AE5:AE34">RANK(AD5,$AD$5:$AD$33)</f>
        <v>1</v>
      </c>
      <c r="AF5" s="52">
        <v>58</v>
      </c>
      <c r="AG5" s="53">
        <v>57</v>
      </c>
      <c r="AH5" s="53">
        <v>56</v>
      </c>
      <c r="AI5" s="53">
        <v>53</v>
      </c>
      <c r="AJ5" s="53">
        <v>56</v>
      </c>
      <c r="AK5" s="59">
        <f aca="true" t="shared" si="13" ref="AK5:AK34">+AF5/10</f>
        <v>5.8</v>
      </c>
      <c r="AL5" s="60">
        <f aca="true" t="shared" si="14" ref="AL5:AL34">+AG5/10</f>
        <v>5.7</v>
      </c>
      <c r="AM5" s="60">
        <f aca="true" t="shared" si="15" ref="AM5:AM34">+AH5/10</f>
        <v>5.6</v>
      </c>
      <c r="AN5" s="60">
        <f aca="true" t="shared" si="16" ref="AN5:AN34">+AI5/10</f>
        <v>5.3</v>
      </c>
      <c r="AO5" s="60">
        <f aca="true" t="shared" si="17" ref="AO5:AO34">+AJ5/10</f>
        <v>5.6</v>
      </c>
      <c r="AP5" s="61">
        <f aca="true" t="shared" si="18" ref="AP5:AP34">SUM(AK5:AO5)-MAX(AK5:AO5)-MIN(AK5:AO5)</f>
        <v>16.9</v>
      </c>
      <c r="AQ5" s="62">
        <f aca="true" t="shared" si="19" ref="AQ5:AQ34">ROUND(AP5/3*10*$AQ$3,4)</f>
        <v>22.5333</v>
      </c>
      <c r="AR5" s="63">
        <f aca="true" t="shared" si="20" ref="AR5:AR34">RANK(AQ5,$AQ$5:$AQ$33)</f>
        <v>1</v>
      </c>
      <c r="AS5" s="64">
        <v>53</v>
      </c>
      <c r="AT5" s="65">
        <v>54</v>
      </c>
      <c r="AU5" s="65">
        <v>58</v>
      </c>
      <c r="AV5" s="65">
        <v>57</v>
      </c>
      <c r="AW5" s="65">
        <v>56</v>
      </c>
      <c r="AX5" s="66">
        <f aca="true" t="shared" si="21" ref="AX5:AX34">+AS5/10</f>
        <v>5.3</v>
      </c>
      <c r="AY5" s="67">
        <f aca="true" t="shared" si="22" ref="AY5:AY34">+AT5/10</f>
        <v>5.4</v>
      </c>
      <c r="AZ5" s="67">
        <f aca="true" t="shared" si="23" ref="AZ5:AZ34">+AU5/10</f>
        <v>5.8</v>
      </c>
      <c r="BA5" s="67">
        <f aca="true" t="shared" si="24" ref="BA5:BA34">+AV5/10</f>
        <v>5.7</v>
      </c>
      <c r="BB5" s="67">
        <f aca="true" t="shared" si="25" ref="BB5:BB34">+AW5/10</f>
        <v>5.6</v>
      </c>
      <c r="BC5" s="68">
        <f aca="true" t="shared" si="26" ref="BC5:BC34">SUM(AX5:BB5)-MAX(AX5:BB5)-MIN(AX5:BB5)</f>
        <v>16.699999999999996</v>
      </c>
      <c r="BD5" s="69">
        <f aca="true" t="shared" si="27" ref="BD5:BD34">IF(BC5&gt;0,ROUND(BC5/3*10*$BD$3,4),0)</f>
        <v>16.7</v>
      </c>
      <c r="BE5" s="70">
        <f aca="true" t="shared" si="28" ref="BE5:BE34">RANK(BD5,$BD$5:$BD$34)</f>
        <v>1</v>
      </c>
      <c r="BF5" s="71">
        <v>0</v>
      </c>
      <c r="BG5" s="72">
        <f aca="true" t="shared" si="29" ref="BG5:BG34">BF5</f>
        <v>0</v>
      </c>
      <c r="BH5" s="73">
        <f aca="true" t="shared" si="30" ref="BH5:BH34">+AD5+AQ5+BD5-BG5</f>
        <v>55.4333</v>
      </c>
      <c r="BI5" s="74">
        <f aca="true" t="shared" si="31" ref="BI5:BI34">ROUND((+O5*$C$3)/100,4)</f>
        <v>0</v>
      </c>
      <c r="BJ5" s="73">
        <f aca="true" t="shared" si="32" ref="BJ5:BJ34">ROUND((+BH5*$C$2)/100,4)</f>
        <v>27.7167</v>
      </c>
      <c r="BK5" s="73">
        <f aca="true" t="shared" si="33" ref="BK5:BK34">ROUND((+BR5*$C$1)/100,4)</f>
        <v>27.1978</v>
      </c>
      <c r="BL5" s="73">
        <f aca="true" t="shared" si="34" ref="BL5:BL34">IF(N5="BM",0,+BI5+BJ5+BK5)</f>
        <v>54.914500000000004</v>
      </c>
      <c r="BM5" s="75">
        <f>IF(ISNA(VLOOKUP(H5,UitslagFig!$C$5:$K$251,1,FALSE)),"",VLOOKUP(H5,UitslagFig!$C$5:$K$251,9,FALSE))</f>
        <v>54.3956</v>
      </c>
      <c r="BN5" s="75">
        <f>IF(ISNA(VLOOKUP(K5,UitslagFig!$C$5:$K$251,1,FALSE)),"",VLOOKUP(K5,UitslagFig!$C$5:$K$251,9,FALSE))</f>
        <v>0</v>
      </c>
      <c r="BO5" s="76">
        <f aca="true" t="shared" si="35" ref="BO5:BO34">IF(I5="X",BM5,"")</f>
        <v>54.3956</v>
      </c>
      <c r="BP5" s="76">
        <f aca="true" t="shared" si="36" ref="BP5:BP34">IF(L5="X",BN5,"")</f>
      </c>
      <c r="BQ5" s="76">
        <f aca="true" t="shared" si="37" ref="BQ5:BQ34">SUMIF(BO5:BP5,"&gt;0")</f>
        <v>54.3956</v>
      </c>
      <c r="BR5" s="76">
        <f aca="true" t="shared" si="38" ref="BR5:BR34">IF(BT5&gt;0,ROUND(AVERAGE(BO5:BP5),4),0)</f>
        <v>54.3956</v>
      </c>
      <c r="BS5" s="77">
        <f aca="true" t="shared" si="39" ref="BS5:BS34">IF(BR5&gt;0,RANK(BR5,$BR$5:$BR$34),"")</f>
        <v>1</v>
      </c>
      <c r="BT5" s="77">
        <f aca="true" t="shared" si="40" ref="BT5:BT34">COUNTIF(BO5:BP5,"&gt;=0")</f>
        <v>1</v>
      </c>
      <c r="BU5" s="78">
        <f aca="true" t="shared" si="41" ref="BU5:BU34">MAX(BM5,BN5)</f>
        <v>54.3956</v>
      </c>
      <c r="BV5" s="79">
        <f aca="true" t="shared" si="42" ref="BV5:BV34">IF(BU5&gt;0,RANK(BU5,$BU$5:$BU$34),"")</f>
        <v>1</v>
      </c>
      <c r="BW5" s="80"/>
    </row>
    <row r="6" spans="1:256" ht="12.75">
      <c r="A6" s="8">
        <v>2</v>
      </c>
      <c r="B6" s="24">
        <f t="shared" si="0"/>
        <v>2</v>
      </c>
      <c r="C6" s="44">
        <f t="shared" si="1"/>
        <v>48.413399999999996</v>
      </c>
      <c r="D6" s="45" t="str">
        <f>IF(ISNA(VLOOKUP($H6,UitslagFig!$C$5:$K$251,1,FALSE)),"",VLOOKUP($H6,UitslagFig!$C$5:$K$251,3,FALSE))</f>
        <v>SPIO Venray</v>
      </c>
      <c r="E6" s="45" t="s">
        <v>59</v>
      </c>
      <c r="F6" s="45" t="s">
        <v>60</v>
      </c>
      <c r="G6" s="45" t="str">
        <f>IF(ISNA(VLOOKUP($H6,UitslagFig!$C$5:$K$251,1,FALSE)),"",VLOOKUP($H6,UitslagFig!$C$5:$K$251,2,FALSE))</f>
        <v>Vera Andriessen</v>
      </c>
      <c r="H6" s="45">
        <v>200200444</v>
      </c>
      <c r="I6" s="47" t="s">
        <v>61</v>
      </c>
      <c r="J6" s="45">
        <f>IF(ISNA(VLOOKUP($K6,UitslagFig!$C$5:$K$251,1,FALSE)),"",VLOOKUP($K6,UitslagFig!$C$5:$K$251,2,FALSE))</f>
        <v>0</v>
      </c>
      <c r="K6" s="45"/>
      <c r="L6" s="47"/>
      <c r="M6" s="48" t="str">
        <f>IF(ISNA(VLOOKUP($H6,UitslagFig!$C$5:$K$251,1,FALSE)),"",VLOOKUP($H6,UitslagFig!$C$5:$K$251,5,FALSE))</f>
        <v>Limburg</v>
      </c>
      <c r="N6" s="49"/>
      <c r="O6" s="50">
        <v>0</v>
      </c>
      <c r="P6" s="24">
        <f t="shared" si="2"/>
      </c>
      <c r="Q6" s="51">
        <f t="shared" si="3"/>
        <v>49.666700000000006</v>
      </c>
      <c r="R6" s="24">
        <f t="shared" si="4"/>
        <v>3</v>
      </c>
      <c r="S6" s="52">
        <v>49</v>
      </c>
      <c r="T6" s="53">
        <v>51</v>
      </c>
      <c r="U6" s="53">
        <v>45</v>
      </c>
      <c r="V6" s="53">
        <v>49</v>
      </c>
      <c r="W6" s="53">
        <v>48</v>
      </c>
      <c r="X6" s="54">
        <f t="shared" si="5"/>
        <v>4.9</v>
      </c>
      <c r="Y6" s="55">
        <f t="shared" si="6"/>
        <v>5.1</v>
      </c>
      <c r="Z6" s="55">
        <f t="shared" si="7"/>
        <v>4.5</v>
      </c>
      <c r="AA6" s="55">
        <f t="shared" si="8"/>
        <v>4.9</v>
      </c>
      <c r="AB6" s="55">
        <f t="shared" si="9"/>
        <v>4.8</v>
      </c>
      <c r="AC6" s="56">
        <f t="shared" si="10"/>
        <v>14.600000000000001</v>
      </c>
      <c r="AD6" s="57">
        <f t="shared" si="11"/>
        <v>14.6</v>
      </c>
      <c r="AE6" s="58">
        <f t="shared" si="12"/>
        <v>3</v>
      </c>
      <c r="AF6" s="52">
        <v>52</v>
      </c>
      <c r="AG6" s="53">
        <v>48</v>
      </c>
      <c r="AH6" s="53">
        <v>52</v>
      </c>
      <c r="AI6" s="53">
        <v>48</v>
      </c>
      <c r="AJ6" s="53">
        <v>52</v>
      </c>
      <c r="AK6" s="59">
        <f t="shared" si="13"/>
        <v>5.2</v>
      </c>
      <c r="AL6" s="60">
        <f t="shared" si="14"/>
        <v>4.8</v>
      </c>
      <c r="AM6" s="60">
        <f t="shared" si="15"/>
        <v>5.2</v>
      </c>
      <c r="AN6" s="60">
        <f t="shared" si="16"/>
        <v>4.8</v>
      </c>
      <c r="AO6" s="60">
        <f t="shared" si="17"/>
        <v>5.2</v>
      </c>
      <c r="AP6" s="61">
        <f t="shared" si="18"/>
        <v>15.2</v>
      </c>
      <c r="AQ6" s="62">
        <f t="shared" si="19"/>
        <v>20.2667</v>
      </c>
      <c r="AR6" s="63">
        <f t="shared" si="20"/>
        <v>3</v>
      </c>
      <c r="AS6" s="64">
        <v>49</v>
      </c>
      <c r="AT6" s="65">
        <v>51</v>
      </c>
      <c r="AU6" s="65">
        <v>47</v>
      </c>
      <c r="AV6" s="65">
        <v>48</v>
      </c>
      <c r="AW6" s="65">
        <v>51</v>
      </c>
      <c r="AX6" s="66">
        <f t="shared" si="21"/>
        <v>4.9</v>
      </c>
      <c r="AY6" s="67">
        <f t="shared" si="22"/>
        <v>5.1</v>
      </c>
      <c r="AZ6" s="67">
        <f t="shared" si="23"/>
        <v>4.7</v>
      </c>
      <c r="BA6" s="67">
        <f t="shared" si="24"/>
        <v>4.8</v>
      </c>
      <c r="BB6" s="67">
        <f t="shared" si="25"/>
        <v>5.1</v>
      </c>
      <c r="BC6" s="68">
        <f t="shared" si="26"/>
        <v>14.8</v>
      </c>
      <c r="BD6" s="69">
        <f t="shared" si="27"/>
        <v>14.8</v>
      </c>
      <c r="BE6" s="70">
        <f t="shared" si="28"/>
        <v>3</v>
      </c>
      <c r="BF6" s="71">
        <v>0</v>
      </c>
      <c r="BG6" s="72">
        <f t="shared" si="29"/>
        <v>0</v>
      </c>
      <c r="BH6" s="73">
        <f t="shared" si="30"/>
        <v>49.666700000000006</v>
      </c>
      <c r="BI6" s="74">
        <f t="shared" si="31"/>
        <v>0</v>
      </c>
      <c r="BJ6" s="73">
        <f t="shared" si="32"/>
        <v>24.8334</v>
      </c>
      <c r="BK6" s="73">
        <f t="shared" si="33"/>
        <v>23.58</v>
      </c>
      <c r="BL6" s="73">
        <f t="shared" si="34"/>
        <v>48.413399999999996</v>
      </c>
      <c r="BM6" s="75">
        <f>IF(ISNA(VLOOKUP(H6,UitslagFig!$C$5:$K$251,1,FALSE)),"",VLOOKUP(H6,UitslagFig!$C$5:$K$251,9,FALSE))</f>
        <v>47.16</v>
      </c>
      <c r="BN6" s="75">
        <f>IF(ISNA(VLOOKUP(K6,UitslagFig!$C$5:$K$251,1,FALSE)),"",VLOOKUP(K6,UitslagFig!$C$5:$K$251,9,FALSE))</f>
        <v>0</v>
      </c>
      <c r="BO6" s="76">
        <f t="shared" si="35"/>
        <v>47.16</v>
      </c>
      <c r="BP6" s="76">
        <f t="shared" si="36"/>
      </c>
      <c r="BQ6" s="76">
        <f t="shared" si="37"/>
        <v>47.16</v>
      </c>
      <c r="BR6" s="76">
        <f t="shared" si="38"/>
        <v>47.16</v>
      </c>
      <c r="BS6" s="77">
        <f t="shared" si="39"/>
        <v>2</v>
      </c>
      <c r="BT6" s="77">
        <f t="shared" si="40"/>
        <v>1</v>
      </c>
      <c r="BU6" s="78">
        <f t="shared" si="41"/>
        <v>47.16</v>
      </c>
      <c r="BV6" s="79">
        <f t="shared" si="42"/>
        <v>2</v>
      </c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ht="12.75">
      <c r="A7" s="8">
        <v>3</v>
      </c>
      <c r="B7" s="24">
        <f t="shared" si="0"/>
        <v>3</v>
      </c>
      <c r="C7" s="44">
        <f t="shared" si="1"/>
        <v>48.1222</v>
      </c>
      <c r="D7" s="45" t="str">
        <f>IF(ISNA(VLOOKUP($H7,UitslagFig!$C$5:$K$251,1,FALSE)),"",VLOOKUP($H7,UitslagFig!$C$5:$K$251,3,FALSE))</f>
        <v>ZC Eijsden</v>
      </c>
      <c r="E7" s="45" t="s">
        <v>62</v>
      </c>
      <c r="F7" s="45" t="s">
        <v>63</v>
      </c>
      <c r="G7" s="45" t="str">
        <f>IF(ISNA(VLOOKUP($H7,UitslagFig!$C$5:$K$251,1,FALSE)),"",VLOOKUP($H7,UitslagFig!$C$5:$K$251,2,FALSE))</f>
        <v>Anne Willems</v>
      </c>
      <c r="H7" s="82">
        <v>200300796</v>
      </c>
      <c r="I7" s="47" t="s">
        <v>61</v>
      </c>
      <c r="J7" s="45">
        <f>IF(ISNA(VLOOKUP($K7,UitslagFig!$C$5:$K$251,1,FALSE)),"",VLOOKUP($K7,UitslagFig!$C$5:$K$251,2,FALSE))</f>
        <v>0</v>
      </c>
      <c r="K7" s="45"/>
      <c r="L7" s="47"/>
      <c r="M7" s="48" t="str">
        <f>IF(ISNA(VLOOKUP($H7,UitslagFig!$C$5:$K$251,1,FALSE)),"",VLOOKUP($H7,UitslagFig!$C$5:$K$251,5,FALSE))</f>
        <v>Limburg</v>
      </c>
      <c r="N7" s="49"/>
      <c r="O7" s="50">
        <v>0</v>
      </c>
      <c r="P7" s="24">
        <f t="shared" si="2"/>
      </c>
      <c r="Q7" s="51">
        <f t="shared" si="3"/>
        <v>50.6</v>
      </c>
      <c r="R7" s="24">
        <f t="shared" si="4"/>
        <v>2</v>
      </c>
      <c r="S7" s="52">
        <v>48</v>
      </c>
      <c r="T7" s="53">
        <v>49</v>
      </c>
      <c r="U7" s="53">
        <v>47</v>
      </c>
      <c r="V7" s="53">
        <v>50</v>
      </c>
      <c r="W7" s="53">
        <v>51</v>
      </c>
      <c r="X7" s="54">
        <f t="shared" si="5"/>
        <v>4.8</v>
      </c>
      <c r="Y7" s="55">
        <f t="shared" si="6"/>
        <v>4.9</v>
      </c>
      <c r="Z7" s="55">
        <f t="shared" si="7"/>
        <v>4.7</v>
      </c>
      <c r="AA7" s="55">
        <f t="shared" si="8"/>
        <v>5</v>
      </c>
      <c r="AB7" s="55">
        <f t="shared" si="9"/>
        <v>5.1</v>
      </c>
      <c r="AC7" s="56">
        <f t="shared" si="10"/>
        <v>14.7</v>
      </c>
      <c r="AD7" s="57">
        <f t="shared" si="11"/>
        <v>14.7</v>
      </c>
      <c r="AE7" s="58">
        <f t="shared" si="12"/>
        <v>2</v>
      </c>
      <c r="AF7" s="52">
        <v>56</v>
      </c>
      <c r="AG7" s="53">
        <v>49</v>
      </c>
      <c r="AH7" s="53">
        <v>53</v>
      </c>
      <c r="AI7" s="53">
        <v>50</v>
      </c>
      <c r="AJ7" s="53">
        <v>53</v>
      </c>
      <c r="AK7" s="59">
        <f t="shared" si="13"/>
        <v>5.6</v>
      </c>
      <c r="AL7" s="60">
        <f t="shared" si="14"/>
        <v>4.9</v>
      </c>
      <c r="AM7" s="60">
        <f t="shared" si="15"/>
        <v>5.3</v>
      </c>
      <c r="AN7" s="60">
        <f t="shared" si="16"/>
        <v>5</v>
      </c>
      <c r="AO7" s="60">
        <f t="shared" si="17"/>
        <v>5.3</v>
      </c>
      <c r="AP7" s="61">
        <f t="shared" si="18"/>
        <v>15.6</v>
      </c>
      <c r="AQ7" s="62">
        <f t="shared" si="19"/>
        <v>20.8</v>
      </c>
      <c r="AR7" s="63">
        <f t="shared" si="20"/>
        <v>2</v>
      </c>
      <c r="AS7" s="64">
        <v>50</v>
      </c>
      <c r="AT7" s="65">
        <v>50</v>
      </c>
      <c r="AU7" s="65">
        <v>43</v>
      </c>
      <c r="AV7" s="65">
        <v>52</v>
      </c>
      <c r="AW7" s="65">
        <v>51</v>
      </c>
      <c r="AX7" s="66">
        <f t="shared" si="21"/>
        <v>5</v>
      </c>
      <c r="AY7" s="67">
        <f t="shared" si="22"/>
        <v>5</v>
      </c>
      <c r="AZ7" s="67">
        <f t="shared" si="23"/>
        <v>4.3</v>
      </c>
      <c r="BA7" s="67">
        <f t="shared" si="24"/>
        <v>5.2</v>
      </c>
      <c r="BB7" s="67">
        <f t="shared" si="25"/>
        <v>5.1</v>
      </c>
      <c r="BC7" s="68">
        <f t="shared" si="26"/>
        <v>15.100000000000001</v>
      </c>
      <c r="BD7" s="69">
        <f t="shared" si="27"/>
        <v>15.1</v>
      </c>
      <c r="BE7" s="70">
        <f t="shared" si="28"/>
        <v>2</v>
      </c>
      <c r="BF7" s="71">
        <v>0</v>
      </c>
      <c r="BG7" s="72">
        <f t="shared" si="29"/>
        <v>0</v>
      </c>
      <c r="BH7" s="73">
        <f t="shared" si="30"/>
        <v>50.6</v>
      </c>
      <c r="BI7" s="74">
        <f t="shared" si="31"/>
        <v>0</v>
      </c>
      <c r="BJ7" s="73">
        <f t="shared" si="32"/>
        <v>25.3</v>
      </c>
      <c r="BK7" s="73">
        <f t="shared" si="33"/>
        <v>22.8222</v>
      </c>
      <c r="BL7" s="73">
        <f t="shared" si="34"/>
        <v>48.1222</v>
      </c>
      <c r="BM7" s="75">
        <f>IF(ISNA(VLOOKUP(H7,UitslagFig!$C$5:$K$251,1,FALSE)),"",VLOOKUP(H7,UitslagFig!$C$5:$K$251,9,FALSE))</f>
        <v>45.6444</v>
      </c>
      <c r="BN7" s="75">
        <f>IF(ISNA(VLOOKUP(K7,UitslagFig!$C$5:$K$251,1,FALSE)),"",VLOOKUP(K7,UitslagFig!$C$5:$K$251,9,FALSE))</f>
        <v>0</v>
      </c>
      <c r="BO7" s="76">
        <f t="shared" si="35"/>
        <v>45.6444</v>
      </c>
      <c r="BP7" s="76">
        <f t="shared" si="36"/>
      </c>
      <c r="BQ7" s="76">
        <f t="shared" si="37"/>
        <v>45.6444</v>
      </c>
      <c r="BR7" s="76">
        <f t="shared" si="38"/>
        <v>45.6444</v>
      </c>
      <c r="BS7" s="77">
        <f t="shared" si="39"/>
        <v>3</v>
      </c>
      <c r="BT7" s="77">
        <f t="shared" si="40"/>
        <v>1</v>
      </c>
      <c r="BU7" s="78">
        <f t="shared" si="41"/>
        <v>45.6444</v>
      </c>
      <c r="BV7" s="79">
        <f t="shared" si="42"/>
        <v>3</v>
      </c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74" ht="12.75">
      <c r="A8" s="8">
        <v>4</v>
      </c>
      <c r="B8" s="24">
        <f t="shared" si="0"/>
        <v>4</v>
      </c>
      <c r="C8" s="44">
        <f t="shared" si="1"/>
        <v>0</v>
      </c>
      <c r="D8" s="45">
        <f>IF(ISNA(VLOOKUP($H8,UitslagFig!$C$5:$K$251,1,FALSE)),"",VLOOKUP($H8,UitslagFig!$C$5:$K$251,3,FALSE))</f>
        <v>0</v>
      </c>
      <c r="E8" s="83"/>
      <c r="F8" s="45"/>
      <c r="G8" s="45">
        <f>IF(ISNA(VLOOKUP($H8,UitslagFig!$C$5:$K$251,1,FALSE)),"",VLOOKUP($H8,UitslagFig!$C$5:$K$251,2,FALSE))</f>
        <v>0</v>
      </c>
      <c r="H8" s="45"/>
      <c r="I8" s="47"/>
      <c r="J8" s="45">
        <f>IF(ISNA(VLOOKUP($K8,UitslagFig!$C$5:$K$251,1,FALSE)),"",VLOOKUP($K8,UitslagFig!$C$5:$K$251,2,FALSE))</f>
        <v>0</v>
      </c>
      <c r="K8" s="45"/>
      <c r="L8" s="47"/>
      <c r="M8" s="48">
        <f>IF(ISNA(VLOOKUP($H8,UitslagFig!$C$5:$K$251,1,FALSE)),"",VLOOKUP($H8,UitslagFig!$C$5:$K$251,5,FALSE))</f>
        <v>0</v>
      </c>
      <c r="N8" s="49"/>
      <c r="O8" s="50">
        <v>0</v>
      </c>
      <c r="P8" s="24">
        <f t="shared" si="2"/>
      </c>
      <c r="Q8" s="51">
        <f t="shared" si="3"/>
        <v>0</v>
      </c>
      <c r="R8" s="24">
        <f t="shared" si="4"/>
      </c>
      <c r="S8" s="52"/>
      <c r="T8" s="53"/>
      <c r="U8" s="53"/>
      <c r="V8" s="53"/>
      <c r="W8" s="53"/>
      <c r="X8" s="54">
        <f t="shared" si="5"/>
        <v>0</v>
      </c>
      <c r="Y8" s="55">
        <f t="shared" si="6"/>
        <v>0</v>
      </c>
      <c r="Z8" s="55">
        <f t="shared" si="7"/>
        <v>0</v>
      </c>
      <c r="AA8" s="55">
        <f t="shared" si="8"/>
        <v>0</v>
      </c>
      <c r="AB8" s="55">
        <f t="shared" si="9"/>
        <v>0</v>
      </c>
      <c r="AC8" s="56">
        <f t="shared" si="10"/>
        <v>0</v>
      </c>
      <c r="AD8" s="57">
        <f t="shared" si="11"/>
        <v>0</v>
      </c>
      <c r="AE8" s="58">
        <f t="shared" si="12"/>
        <v>4</v>
      </c>
      <c r="AF8" s="52"/>
      <c r="AG8" s="53"/>
      <c r="AH8" s="53"/>
      <c r="AI8" s="53"/>
      <c r="AJ8" s="53"/>
      <c r="AK8" s="59">
        <f t="shared" si="13"/>
        <v>0</v>
      </c>
      <c r="AL8" s="60">
        <f t="shared" si="14"/>
        <v>0</v>
      </c>
      <c r="AM8" s="60">
        <f t="shared" si="15"/>
        <v>0</v>
      </c>
      <c r="AN8" s="60">
        <f t="shared" si="16"/>
        <v>0</v>
      </c>
      <c r="AO8" s="60">
        <f t="shared" si="17"/>
        <v>0</v>
      </c>
      <c r="AP8" s="61">
        <f t="shared" si="18"/>
        <v>0</v>
      </c>
      <c r="AQ8" s="62">
        <f t="shared" si="19"/>
        <v>0</v>
      </c>
      <c r="AR8" s="63">
        <f t="shared" si="20"/>
        <v>4</v>
      </c>
      <c r="AS8" s="52"/>
      <c r="AT8" s="53"/>
      <c r="AU8" s="53"/>
      <c r="AV8" s="53"/>
      <c r="AW8" s="53"/>
      <c r="AX8" s="66">
        <f t="shared" si="21"/>
        <v>0</v>
      </c>
      <c r="AY8" s="67">
        <f t="shared" si="22"/>
        <v>0</v>
      </c>
      <c r="AZ8" s="67">
        <f t="shared" si="23"/>
        <v>0</v>
      </c>
      <c r="BA8" s="67">
        <f t="shared" si="24"/>
        <v>0</v>
      </c>
      <c r="BB8" s="67">
        <f t="shared" si="25"/>
        <v>0</v>
      </c>
      <c r="BC8" s="68">
        <f t="shared" si="26"/>
        <v>0</v>
      </c>
      <c r="BD8" s="69">
        <f t="shared" si="27"/>
        <v>0</v>
      </c>
      <c r="BE8" s="70">
        <f t="shared" si="28"/>
        <v>4</v>
      </c>
      <c r="BF8" s="71">
        <v>0</v>
      </c>
      <c r="BG8" s="72">
        <f t="shared" si="29"/>
        <v>0</v>
      </c>
      <c r="BH8" s="73">
        <f t="shared" si="30"/>
        <v>0</v>
      </c>
      <c r="BI8" s="74">
        <f t="shared" si="31"/>
        <v>0</v>
      </c>
      <c r="BJ8" s="73">
        <f t="shared" si="32"/>
        <v>0</v>
      </c>
      <c r="BK8" s="73">
        <f t="shared" si="33"/>
        <v>0</v>
      </c>
      <c r="BL8" s="73">
        <f t="shared" si="34"/>
        <v>0</v>
      </c>
      <c r="BM8" s="75">
        <f>IF(ISNA(VLOOKUP(H8,UitslagFig!$C$5:$K$251,1,FALSE)),"",VLOOKUP(H8,UitslagFig!$C$5:$K$251,9,FALSE))</f>
        <v>0</v>
      </c>
      <c r="BN8" s="75">
        <f>IF(ISNA(VLOOKUP(K8,UitslagFig!$C$5:$K$251,1,FALSE)),"",VLOOKUP(K8,UitslagFig!$C$5:$K$251,9,FALSE))</f>
        <v>0</v>
      </c>
      <c r="BO8" s="76">
        <f t="shared" si="35"/>
      </c>
      <c r="BP8" s="76">
        <f t="shared" si="36"/>
      </c>
      <c r="BQ8" s="76">
        <f t="shared" si="37"/>
        <v>0</v>
      </c>
      <c r="BR8" s="76">
        <f t="shared" si="38"/>
        <v>0</v>
      </c>
      <c r="BS8" s="77">
        <f t="shared" si="39"/>
      </c>
      <c r="BT8" s="77">
        <f t="shared" si="40"/>
        <v>0</v>
      </c>
      <c r="BU8" s="78">
        <f t="shared" si="41"/>
        <v>0</v>
      </c>
      <c r="BV8" s="79">
        <f t="shared" si="42"/>
      </c>
    </row>
    <row r="9" spans="1:74" ht="12.75">
      <c r="A9" s="8">
        <v>5</v>
      </c>
      <c r="B9" s="24">
        <f t="shared" si="0"/>
        <v>4</v>
      </c>
      <c r="C9" s="44">
        <f t="shared" si="1"/>
        <v>0</v>
      </c>
      <c r="D9" s="45">
        <f>IF(ISNA(VLOOKUP($H9,UitslagFig!$C$5:$K$251,1,FALSE)),"",VLOOKUP($H9,UitslagFig!$C$5:$K$251,3,FALSE))</f>
        <v>0</v>
      </c>
      <c r="E9" s="45"/>
      <c r="F9" s="45"/>
      <c r="G9" s="45">
        <f>IF(ISNA(VLOOKUP($H9,UitslagFig!$C$5:$K$251,1,FALSE)),"",VLOOKUP($H9,UitslagFig!$C$5:$K$251,2,FALSE))</f>
        <v>0</v>
      </c>
      <c r="H9" s="45"/>
      <c r="I9" s="47"/>
      <c r="J9" s="45">
        <f>IF(ISNA(VLOOKUP($K9,UitslagFig!$C$5:$K$251,1,FALSE)),"",VLOOKUP($K9,UitslagFig!$C$5:$K$251,2,FALSE))</f>
        <v>0</v>
      </c>
      <c r="K9" s="45"/>
      <c r="L9" s="47"/>
      <c r="M9" s="48">
        <f>IF(ISNA(VLOOKUP($H9,UitslagFig!$C$5:$K$251,1,FALSE)),"",VLOOKUP($H9,UitslagFig!$C$5:$K$251,5,FALSE))</f>
        <v>0</v>
      </c>
      <c r="N9" s="49"/>
      <c r="O9" s="50">
        <v>0</v>
      </c>
      <c r="P9" s="24">
        <f t="shared" si="2"/>
      </c>
      <c r="Q9" s="51">
        <f t="shared" si="3"/>
        <v>0</v>
      </c>
      <c r="R9" s="24">
        <f t="shared" si="4"/>
      </c>
      <c r="S9" s="52"/>
      <c r="T9" s="53"/>
      <c r="U9" s="53"/>
      <c r="V9" s="53"/>
      <c r="W9" s="53"/>
      <c r="X9" s="54">
        <f t="shared" si="5"/>
        <v>0</v>
      </c>
      <c r="Y9" s="55">
        <f t="shared" si="6"/>
        <v>0</v>
      </c>
      <c r="Z9" s="55">
        <f t="shared" si="7"/>
        <v>0</v>
      </c>
      <c r="AA9" s="55">
        <f t="shared" si="8"/>
        <v>0</v>
      </c>
      <c r="AB9" s="55">
        <f t="shared" si="9"/>
        <v>0</v>
      </c>
      <c r="AC9" s="56">
        <f t="shared" si="10"/>
        <v>0</v>
      </c>
      <c r="AD9" s="57">
        <f t="shared" si="11"/>
        <v>0</v>
      </c>
      <c r="AE9" s="58">
        <f t="shared" si="12"/>
        <v>4</v>
      </c>
      <c r="AF9" s="52"/>
      <c r="AG9" s="53"/>
      <c r="AH9" s="53"/>
      <c r="AI9" s="53"/>
      <c r="AJ9" s="53"/>
      <c r="AK9" s="59">
        <f t="shared" si="13"/>
        <v>0</v>
      </c>
      <c r="AL9" s="60">
        <f t="shared" si="14"/>
        <v>0</v>
      </c>
      <c r="AM9" s="60">
        <f t="shared" si="15"/>
        <v>0</v>
      </c>
      <c r="AN9" s="60">
        <f t="shared" si="16"/>
        <v>0</v>
      </c>
      <c r="AO9" s="60">
        <f t="shared" si="17"/>
        <v>0</v>
      </c>
      <c r="AP9" s="61">
        <f t="shared" si="18"/>
        <v>0</v>
      </c>
      <c r="AQ9" s="62">
        <f t="shared" si="19"/>
        <v>0</v>
      </c>
      <c r="AR9" s="63">
        <f t="shared" si="20"/>
        <v>4</v>
      </c>
      <c r="AS9" s="52"/>
      <c r="AT9" s="53"/>
      <c r="AU9" s="53"/>
      <c r="AV9" s="53"/>
      <c r="AW9" s="53"/>
      <c r="AX9" s="66">
        <f t="shared" si="21"/>
        <v>0</v>
      </c>
      <c r="AY9" s="67">
        <f t="shared" si="22"/>
        <v>0</v>
      </c>
      <c r="AZ9" s="67">
        <f t="shared" si="23"/>
        <v>0</v>
      </c>
      <c r="BA9" s="67">
        <f t="shared" si="24"/>
        <v>0</v>
      </c>
      <c r="BB9" s="67">
        <f t="shared" si="25"/>
        <v>0</v>
      </c>
      <c r="BC9" s="68">
        <f t="shared" si="26"/>
        <v>0</v>
      </c>
      <c r="BD9" s="69">
        <f t="shared" si="27"/>
        <v>0</v>
      </c>
      <c r="BE9" s="70">
        <f t="shared" si="28"/>
        <v>4</v>
      </c>
      <c r="BF9" s="71">
        <v>0</v>
      </c>
      <c r="BG9" s="72">
        <f t="shared" si="29"/>
        <v>0</v>
      </c>
      <c r="BH9" s="73">
        <f t="shared" si="30"/>
        <v>0</v>
      </c>
      <c r="BI9" s="74">
        <f t="shared" si="31"/>
        <v>0</v>
      </c>
      <c r="BJ9" s="73">
        <f t="shared" si="32"/>
        <v>0</v>
      </c>
      <c r="BK9" s="73">
        <f t="shared" si="33"/>
        <v>0</v>
      </c>
      <c r="BL9" s="73">
        <f t="shared" si="34"/>
        <v>0</v>
      </c>
      <c r="BM9" s="75">
        <f>IF(ISNA(VLOOKUP(H9,UitslagFig!$C$5:$K$251,1,FALSE)),"",VLOOKUP(H9,UitslagFig!$C$5:$K$251,9,FALSE))</f>
        <v>0</v>
      </c>
      <c r="BN9" s="75">
        <f>IF(ISNA(VLOOKUP(K9,UitslagFig!$C$5:$K$251,1,FALSE)),"",VLOOKUP(K9,UitslagFig!$C$5:$K$251,9,FALSE))</f>
        <v>0</v>
      </c>
      <c r="BO9" s="76">
        <f t="shared" si="35"/>
      </c>
      <c r="BP9" s="76">
        <f t="shared" si="36"/>
      </c>
      <c r="BQ9" s="76">
        <f t="shared" si="37"/>
        <v>0</v>
      </c>
      <c r="BR9" s="76">
        <f t="shared" si="38"/>
        <v>0</v>
      </c>
      <c r="BS9" s="77">
        <f t="shared" si="39"/>
      </c>
      <c r="BT9" s="77">
        <f t="shared" si="40"/>
        <v>0</v>
      </c>
      <c r="BU9" s="78">
        <f t="shared" si="41"/>
        <v>0</v>
      </c>
      <c r="BV9" s="79">
        <f t="shared" si="42"/>
      </c>
    </row>
    <row r="10" spans="1:74" ht="12.75">
      <c r="A10" s="8">
        <v>6</v>
      </c>
      <c r="B10" s="24">
        <f t="shared" si="0"/>
        <v>4</v>
      </c>
      <c r="C10" s="44">
        <f t="shared" si="1"/>
        <v>0</v>
      </c>
      <c r="D10" s="45">
        <f>IF(ISNA(VLOOKUP($H10,UitslagFig!$C$5:$K$251,1,FALSE)),"",VLOOKUP($H10,UitslagFig!$C$5:$K$251,3,FALSE))</f>
        <v>0</v>
      </c>
      <c r="E10" s="45"/>
      <c r="F10" s="45"/>
      <c r="G10" s="45">
        <f>IF(ISNA(VLOOKUP($H10,UitslagFig!$C$5:$K$251,1,FALSE)),"",VLOOKUP($H10,UitslagFig!$C$5:$K$251,2,FALSE))</f>
        <v>0</v>
      </c>
      <c r="H10" s="45"/>
      <c r="I10" s="47"/>
      <c r="J10" s="45">
        <f>IF(ISNA(VLOOKUP($K10,UitslagFig!$C$5:$K$251,1,FALSE)),"",VLOOKUP($K10,UitslagFig!$C$5:$K$251,2,FALSE))</f>
        <v>0</v>
      </c>
      <c r="K10" s="45"/>
      <c r="L10" s="47"/>
      <c r="M10" s="48">
        <f>IF(ISNA(VLOOKUP($H10,UitslagFig!$C$5:$K$251,1,FALSE)),"",VLOOKUP($H10,UitslagFig!$C$5:$K$251,5,FALSE))</f>
        <v>0</v>
      </c>
      <c r="N10" s="49"/>
      <c r="O10" s="50">
        <v>0</v>
      </c>
      <c r="P10" s="24">
        <f t="shared" si="2"/>
      </c>
      <c r="Q10" s="51">
        <f t="shared" si="3"/>
        <v>0</v>
      </c>
      <c r="R10" s="24">
        <f t="shared" si="4"/>
      </c>
      <c r="S10" s="52"/>
      <c r="T10" s="53"/>
      <c r="U10" s="53"/>
      <c r="V10" s="53"/>
      <c r="W10" s="53"/>
      <c r="X10" s="54">
        <f t="shared" si="5"/>
        <v>0</v>
      </c>
      <c r="Y10" s="55">
        <f t="shared" si="6"/>
        <v>0</v>
      </c>
      <c r="Z10" s="55">
        <f t="shared" si="7"/>
        <v>0</v>
      </c>
      <c r="AA10" s="55">
        <f t="shared" si="8"/>
        <v>0</v>
      </c>
      <c r="AB10" s="55">
        <f t="shared" si="9"/>
        <v>0</v>
      </c>
      <c r="AC10" s="56">
        <f t="shared" si="10"/>
        <v>0</v>
      </c>
      <c r="AD10" s="57">
        <f t="shared" si="11"/>
        <v>0</v>
      </c>
      <c r="AE10" s="58">
        <f t="shared" si="12"/>
        <v>4</v>
      </c>
      <c r="AF10" s="52"/>
      <c r="AG10" s="53"/>
      <c r="AH10" s="53"/>
      <c r="AI10" s="53"/>
      <c r="AJ10" s="53"/>
      <c r="AK10" s="59">
        <f t="shared" si="13"/>
        <v>0</v>
      </c>
      <c r="AL10" s="60">
        <f t="shared" si="14"/>
        <v>0</v>
      </c>
      <c r="AM10" s="60">
        <f t="shared" si="15"/>
        <v>0</v>
      </c>
      <c r="AN10" s="60">
        <f t="shared" si="16"/>
        <v>0</v>
      </c>
      <c r="AO10" s="60">
        <f t="shared" si="17"/>
        <v>0</v>
      </c>
      <c r="AP10" s="61">
        <f t="shared" si="18"/>
        <v>0</v>
      </c>
      <c r="AQ10" s="62">
        <f t="shared" si="19"/>
        <v>0</v>
      </c>
      <c r="AR10" s="63">
        <f t="shared" si="20"/>
        <v>4</v>
      </c>
      <c r="AS10" s="52"/>
      <c r="AT10" s="53"/>
      <c r="AU10" s="53"/>
      <c r="AV10" s="53"/>
      <c r="AW10" s="53"/>
      <c r="AX10" s="66">
        <f t="shared" si="21"/>
        <v>0</v>
      </c>
      <c r="AY10" s="67">
        <f t="shared" si="22"/>
        <v>0</v>
      </c>
      <c r="AZ10" s="67">
        <f t="shared" si="23"/>
        <v>0</v>
      </c>
      <c r="BA10" s="67">
        <f t="shared" si="24"/>
        <v>0</v>
      </c>
      <c r="BB10" s="67">
        <f t="shared" si="25"/>
        <v>0</v>
      </c>
      <c r="BC10" s="68">
        <f t="shared" si="26"/>
        <v>0</v>
      </c>
      <c r="BD10" s="69">
        <f t="shared" si="27"/>
        <v>0</v>
      </c>
      <c r="BE10" s="70">
        <f t="shared" si="28"/>
        <v>4</v>
      </c>
      <c r="BF10" s="71">
        <v>0</v>
      </c>
      <c r="BG10" s="72">
        <f t="shared" si="29"/>
        <v>0</v>
      </c>
      <c r="BH10" s="73">
        <f t="shared" si="30"/>
        <v>0</v>
      </c>
      <c r="BI10" s="74">
        <f t="shared" si="31"/>
        <v>0</v>
      </c>
      <c r="BJ10" s="73">
        <f t="shared" si="32"/>
        <v>0</v>
      </c>
      <c r="BK10" s="73">
        <f t="shared" si="33"/>
        <v>0</v>
      </c>
      <c r="BL10" s="73">
        <f t="shared" si="34"/>
        <v>0</v>
      </c>
      <c r="BM10" s="75">
        <f>IF(ISNA(VLOOKUP(H10,UitslagFig!$C$5:$K$251,1,FALSE)),"",VLOOKUP(H10,UitslagFig!$C$5:$K$251,9,FALSE))</f>
        <v>0</v>
      </c>
      <c r="BN10" s="75">
        <f>IF(ISNA(VLOOKUP(K10,UitslagFig!$C$5:$K$251,1,FALSE)),"",VLOOKUP(K10,UitslagFig!$C$5:$K$251,9,FALSE))</f>
        <v>0</v>
      </c>
      <c r="BO10" s="76">
        <f t="shared" si="35"/>
      </c>
      <c r="BP10" s="76">
        <f t="shared" si="36"/>
      </c>
      <c r="BQ10" s="76">
        <f t="shared" si="37"/>
        <v>0</v>
      </c>
      <c r="BR10" s="76">
        <f t="shared" si="38"/>
        <v>0</v>
      </c>
      <c r="BS10" s="77">
        <f t="shared" si="39"/>
      </c>
      <c r="BT10" s="77">
        <f t="shared" si="40"/>
        <v>0</v>
      </c>
      <c r="BU10" s="78">
        <f t="shared" si="41"/>
        <v>0</v>
      </c>
      <c r="BV10" s="79">
        <f t="shared" si="42"/>
      </c>
    </row>
    <row r="11" spans="1:74" ht="12.75">
      <c r="A11" s="8">
        <v>7</v>
      </c>
      <c r="B11" s="24">
        <f t="shared" si="0"/>
        <v>4</v>
      </c>
      <c r="C11" s="44">
        <f t="shared" si="1"/>
        <v>0</v>
      </c>
      <c r="D11" s="45">
        <f>IF(ISNA(VLOOKUP($H11,UitslagFig!$C$5:$K$251,1,FALSE)),"",VLOOKUP($H11,UitslagFig!$C$5:$K$251,3,FALSE))</f>
        <v>0</v>
      </c>
      <c r="E11" s="45"/>
      <c r="F11" s="45"/>
      <c r="G11" s="45">
        <f>IF(ISNA(VLOOKUP($H11,UitslagFig!$C$5:$K$251,1,FALSE)),"",VLOOKUP($H11,UitslagFig!$C$5:$K$251,2,FALSE))</f>
        <v>0</v>
      </c>
      <c r="H11" s="45"/>
      <c r="I11" s="47"/>
      <c r="J11" s="45">
        <f>IF(ISNA(VLOOKUP($K11,UitslagFig!$C$5:$K$251,1,FALSE)),"",VLOOKUP($K11,UitslagFig!$C$5:$K$251,2,FALSE))</f>
        <v>0</v>
      </c>
      <c r="K11" s="45"/>
      <c r="L11" s="47"/>
      <c r="M11" s="48">
        <f>IF(ISNA(VLOOKUP($H11,UitslagFig!$C$5:$K$251,1,FALSE)),"",VLOOKUP($H11,UitslagFig!$C$5:$K$251,5,FALSE))</f>
        <v>0</v>
      </c>
      <c r="N11" s="49"/>
      <c r="O11" s="50">
        <v>0</v>
      </c>
      <c r="P11" s="24">
        <f t="shared" si="2"/>
      </c>
      <c r="Q11" s="51">
        <f t="shared" si="3"/>
        <v>0</v>
      </c>
      <c r="R11" s="24">
        <f t="shared" si="4"/>
      </c>
      <c r="S11" s="52"/>
      <c r="T11" s="53"/>
      <c r="U11" s="53"/>
      <c r="V11" s="53"/>
      <c r="W11" s="53"/>
      <c r="X11" s="54">
        <f t="shared" si="5"/>
        <v>0</v>
      </c>
      <c r="Y11" s="55">
        <f t="shared" si="6"/>
        <v>0</v>
      </c>
      <c r="Z11" s="55">
        <f t="shared" si="7"/>
        <v>0</v>
      </c>
      <c r="AA11" s="55">
        <f t="shared" si="8"/>
        <v>0</v>
      </c>
      <c r="AB11" s="55">
        <f t="shared" si="9"/>
        <v>0</v>
      </c>
      <c r="AC11" s="56">
        <f t="shared" si="10"/>
        <v>0</v>
      </c>
      <c r="AD11" s="57">
        <f t="shared" si="11"/>
        <v>0</v>
      </c>
      <c r="AE11" s="58">
        <f t="shared" si="12"/>
        <v>4</v>
      </c>
      <c r="AF11" s="52"/>
      <c r="AG11" s="53"/>
      <c r="AH11" s="53"/>
      <c r="AI11" s="53"/>
      <c r="AJ11" s="53"/>
      <c r="AK11" s="59">
        <f t="shared" si="13"/>
        <v>0</v>
      </c>
      <c r="AL11" s="60">
        <f t="shared" si="14"/>
        <v>0</v>
      </c>
      <c r="AM11" s="60">
        <f t="shared" si="15"/>
        <v>0</v>
      </c>
      <c r="AN11" s="60">
        <f t="shared" si="16"/>
        <v>0</v>
      </c>
      <c r="AO11" s="60">
        <f t="shared" si="17"/>
        <v>0</v>
      </c>
      <c r="AP11" s="61">
        <f t="shared" si="18"/>
        <v>0</v>
      </c>
      <c r="AQ11" s="62">
        <f t="shared" si="19"/>
        <v>0</v>
      </c>
      <c r="AR11" s="63">
        <f t="shared" si="20"/>
        <v>4</v>
      </c>
      <c r="AS11" s="52"/>
      <c r="AT11" s="53"/>
      <c r="AU11" s="53"/>
      <c r="AV11" s="53"/>
      <c r="AW11" s="53"/>
      <c r="AX11" s="66">
        <f t="shared" si="21"/>
        <v>0</v>
      </c>
      <c r="AY11" s="67">
        <f t="shared" si="22"/>
        <v>0</v>
      </c>
      <c r="AZ11" s="67">
        <f t="shared" si="23"/>
        <v>0</v>
      </c>
      <c r="BA11" s="67">
        <f t="shared" si="24"/>
        <v>0</v>
      </c>
      <c r="BB11" s="67">
        <f t="shared" si="25"/>
        <v>0</v>
      </c>
      <c r="BC11" s="68">
        <f t="shared" si="26"/>
        <v>0</v>
      </c>
      <c r="BD11" s="69">
        <f t="shared" si="27"/>
        <v>0</v>
      </c>
      <c r="BE11" s="70">
        <f t="shared" si="28"/>
        <v>4</v>
      </c>
      <c r="BF11" s="71">
        <v>0</v>
      </c>
      <c r="BG11" s="72">
        <f t="shared" si="29"/>
        <v>0</v>
      </c>
      <c r="BH11" s="73">
        <f t="shared" si="30"/>
        <v>0</v>
      </c>
      <c r="BI11" s="74">
        <f t="shared" si="31"/>
        <v>0</v>
      </c>
      <c r="BJ11" s="73">
        <f t="shared" si="32"/>
        <v>0</v>
      </c>
      <c r="BK11" s="73">
        <f t="shared" si="33"/>
        <v>0</v>
      </c>
      <c r="BL11" s="73">
        <f t="shared" si="34"/>
        <v>0</v>
      </c>
      <c r="BM11" s="75">
        <f>IF(ISNA(VLOOKUP(H11,UitslagFig!$C$5:$K$251,1,FALSE)),"",VLOOKUP(H11,UitslagFig!$C$5:$K$251,9,FALSE))</f>
        <v>0</v>
      </c>
      <c r="BN11" s="75">
        <f>IF(ISNA(VLOOKUP(K11,UitslagFig!$C$5:$K$251,1,FALSE)),"",VLOOKUP(K11,UitslagFig!$C$5:$K$251,9,FALSE))</f>
        <v>0</v>
      </c>
      <c r="BO11" s="76">
        <f t="shared" si="35"/>
      </c>
      <c r="BP11" s="76">
        <f t="shared" si="36"/>
      </c>
      <c r="BQ11" s="76">
        <f t="shared" si="37"/>
        <v>0</v>
      </c>
      <c r="BR11" s="76">
        <f t="shared" si="38"/>
        <v>0</v>
      </c>
      <c r="BS11" s="77">
        <f t="shared" si="39"/>
      </c>
      <c r="BT11" s="77">
        <f t="shared" si="40"/>
        <v>0</v>
      </c>
      <c r="BU11" s="78">
        <f t="shared" si="41"/>
        <v>0</v>
      </c>
      <c r="BV11" s="79">
        <f t="shared" si="42"/>
      </c>
    </row>
    <row r="12" spans="1:74" ht="12.75">
      <c r="A12" s="8">
        <v>8</v>
      </c>
      <c r="B12" s="24">
        <f t="shared" si="0"/>
        <v>4</v>
      </c>
      <c r="C12" s="44">
        <f t="shared" si="1"/>
        <v>0</v>
      </c>
      <c r="D12" s="45">
        <f>IF(ISNA(VLOOKUP($H12,UitslagFig!$C$5:$K$251,1,FALSE)),"",VLOOKUP($H12,UitslagFig!$C$5:$K$251,3,FALSE))</f>
        <v>0</v>
      </c>
      <c r="E12" s="45"/>
      <c r="F12" s="45"/>
      <c r="G12" s="45">
        <f>IF(ISNA(VLOOKUP($H12,UitslagFig!$C$5:$K$251,1,FALSE)),"",VLOOKUP($H12,UitslagFig!$C$5:$K$251,2,FALSE))</f>
        <v>0</v>
      </c>
      <c r="H12" s="45"/>
      <c r="I12" s="47"/>
      <c r="J12" s="45">
        <f>IF(ISNA(VLOOKUP($K12,UitslagFig!$C$5:$K$251,1,FALSE)),"",VLOOKUP($K12,UitslagFig!$C$5:$K$251,2,FALSE))</f>
        <v>0</v>
      </c>
      <c r="K12" s="45"/>
      <c r="L12" s="47"/>
      <c r="M12" s="48">
        <f>IF(ISNA(VLOOKUP($H12,UitslagFig!$C$5:$K$251,1,FALSE)),"",VLOOKUP($H12,UitslagFig!$C$5:$K$251,5,FALSE))</f>
        <v>0</v>
      </c>
      <c r="N12" s="49"/>
      <c r="O12" s="50">
        <v>0</v>
      </c>
      <c r="P12" s="24">
        <f t="shared" si="2"/>
      </c>
      <c r="Q12" s="51">
        <f t="shared" si="3"/>
        <v>0</v>
      </c>
      <c r="R12" s="24">
        <f t="shared" si="4"/>
      </c>
      <c r="S12" s="52"/>
      <c r="T12" s="53"/>
      <c r="U12" s="53"/>
      <c r="V12" s="53"/>
      <c r="W12" s="53"/>
      <c r="X12" s="54">
        <f t="shared" si="5"/>
        <v>0</v>
      </c>
      <c r="Y12" s="55">
        <f t="shared" si="6"/>
        <v>0</v>
      </c>
      <c r="Z12" s="55">
        <f t="shared" si="7"/>
        <v>0</v>
      </c>
      <c r="AA12" s="55">
        <f t="shared" si="8"/>
        <v>0</v>
      </c>
      <c r="AB12" s="55">
        <f t="shared" si="9"/>
        <v>0</v>
      </c>
      <c r="AC12" s="56">
        <f t="shared" si="10"/>
        <v>0</v>
      </c>
      <c r="AD12" s="57">
        <f t="shared" si="11"/>
        <v>0</v>
      </c>
      <c r="AE12" s="58">
        <f t="shared" si="12"/>
        <v>4</v>
      </c>
      <c r="AF12" s="52"/>
      <c r="AG12" s="53"/>
      <c r="AH12" s="53"/>
      <c r="AI12" s="53"/>
      <c r="AJ12" s="53"/>
      <c r="AK12" s="59">
        <f t="shared" si="13"/>
        <v>0</v>
      </c>
      <c r="AL12" s="60">
        <f t="shared" si="14"/>
        <v>0</v>
      </c>
      <c r="AM12" s="60">
        <f t="shared" si="15"/>
        <v>0</v>
      </c>
      <c r="AN12" s="60">
        <f t="shared" si="16"/>
        <v>0</v>
      </c>
      <c r="AO12" s="60">
        <f t="shared" si="17"/>
        <v>0</v>
      </c>
      <c r="AP12" s="61">
        <f t="shared" si="18"/>
        <v>0</v>
      </c>
      <c r="AQ12" s="62">
        <f t="shared" si="19"/>
        <v>0</v>
      </c>
      <c r="AR12" s="63">
        <f t="shared" si="20"/>
        <v>4</v>
      </c>
      <c r="AS12" s="52"/>
      <c r="AT12" s="53"/>
      <c r="AU12" s="53"/>
      <c r="AV12" s="53"/>
      <c r="AW12" s="53"/>
      <c r="AX12" s="66">
        <f t="shared" si="21"/>
        <v>0</v>
      </c>
      <c r="AY12" s="67">
        <f t="shared" si="22"/>
        <v>0</v>
      </c>
      <c r="AZ12" s="67">
        <f t="shared" si="23"/>
        <v>0</v>
      </c>
      <c r="BA12" s="67">
        <f t="shared" si="24"/>
        <v>0</v>
      </c>
      <c r="BB12" s="67">
        <f t="shared" si="25"/>
        <v>0</v>
      </c>
      <c r="BC12" s="68">
        <f t="shared" si="26"/>
        <v>0</v>
      </c>
      <c r="BD12" s="69">
        <f t="shared" si="27"/>
        <v>0</v>
      </c>
      <c r="BE12" s="70">
        <f t="shared" si="28"/>
        <v>4</v>
      </c>
      <c r="BF12" s="71">
        <v>0</v>
      </c>
      <c r="BG12" s="72">
        <f t="shared" si="29"/>
        <v>0</v>
      </c>
      <c r="BH12" s="73">
        <f t="shared" si="30"/>
        <v>0</v>
      </c>
      <c r="BI12" s="74">
        <f t="shared" si="31"/>
        <v>0</v>
      </c>
      <c r="BJ12" s="73">
        <f t="shared" si="32"/>
        <v>0</v>
      </c>
      <c r="BK12" s="73">
        <f t="shared" si="33"/>
        <v>0</v>
      </c>
      <c r="BL12" s="73">
        <f t="shared" si="34"/>
        <v>0</v>
      </c>
      <c r="BM12" s="75">
        <f>IF(ISNA(VLOOKUP(H12,UitslagFig!$C$5:$K$251,1,FALSE)),"",VLOOKUP(H12,UitslagFig!$C$5:$K$251,9,FALSE))</f>
        <v>0</v>
      </c>
      <c r="BN12" s="75">
        <f>IF(ISNA(VLOOKUP(K12,UitslagFig!$C$5:$K$251,1,FALSE)),"",VLOOKUP(K12,UitslagFig!$C$5:$K$251,9,FALSE))</f>
        <v>0</v>
      </c>
      <c r="BO12" s="76">
        <f t="shared" si="35"/>
      </c>
      <c r="BP12" s="76">
        <f t="shared" si="36"/>
      </c>
      <c r="BQ12" s="76">
        <f t="shared" si="37"/>
        <v>0</v>
      </c>
      <c r="BR12" s="76">
        <f t="shared" si="38"/>
        <v>0</v>
      </c>
      <c r="BS12" s="77">
        <f t="shared" si="39"/>
      </c>
      <c r="BT12" s="77">
        <f t="shared" si="40"/>
        <v>0</v>
      </c>
      <c r="BU12" s="78">
        <f t="shared" si="41"/>
        <v>0</v>
      </c>
      <c r="BV12" s="79">
        <f t="shared" si="42"/>
      </c>
    </row>
    <row r="13" spans="1:74" ht="12.75">
      <c r="A13" s="8">
        <v>9</v>
      </c>
      <c r="B13" s="24">
        <f t="shared" si="0"/>
        <v>4</v>
      </c>
      <c r="C13" s="44">
        <f t="shared" si="1"/>
        <v>0</v>
      </c>
      <c r="D13" s="45">
        <f>IF(ISNA(VLOOKUP($H13,UitslagFig!$C$5:$K$251,1,FALSE)),"",VLOOKUP($H13,UitslagFig!$C$5:$K$251,3,FALSE))</f>
        <v>0</v>
      </c>
      <c r="E13" s="45"/>
      <c r="F13" s="45"/>
      <c r="G13" s="45">
        <f>IF(ISNA(VLOOKUP($H13,UitslagFig!$C$5:$K$251,1,FALSE)),"",VLOOKUP($H13,UitslagFig!$C$5:$K$251,2,FALSE))</f>
        <v>0</v>
      </c>
      <c r="H13" s="45"/>
      <c r="I13" s="47"/>
      <c r="J13" s="45">
        <f>IF(ISNA(VLOOKUP($K13,UitslagFig!$C$5:$K$251,1,FALSE)),"",VLOOKUP($K13,UitslagFig!$C$5:$K$251,2,FALSE))</f>
        <v>0</v>
      </c>
      <c r="K13" s="45"/>
      <c r="L13" s="47"/>
      <c r="M13" s="48">
        <f>IF(ISNA(VLOOKUP($H13,UitslagFig!$C$5:$K$251,1,FALSE)),"",VLOOKUP($H13,UitslagFig!$C$5:$K$251,5,FALSE))</f>
        <v>0</v>
      </c>
      <c r="N13" s="49"/>
      <c r="O13" s="50">
        <v>0</v>
      </c>
      <c r="P13" s="24">
        <f t="shared" si="2"/>
      </c>
      <c r="Q13" s="51">
        <f t="shared" si="3"/>
        <v>0</v>
      </c>
      <c r="R13" s="24">
        <f t="shared" si="4"/>
      </c>
      <c r="S13" s="52"/>
      <c r="T13" s="53"/>
      <c r="U13" s="53"/>
      <c r="V13" s="53"/>
      <c r="W13" s="53"/>
      <c r="X13" s="54">
        <f t="shared" si="5"/>
        <v>0</v>
      </c>
      <c r="Y13" s="55">
        <f t="shared" si="6"/>
        <v>0</v>
      </c>
      <c r="Z13" s="55">
        <f t="shared" si="7"/>
        <v>0</v>
      </c>
      <c r="AA13" s="55">
        <f t="shared" si="8"/>
        <v>0</v>
      </c>
      <c r="AB13" s="55">
        <f t="shared" si="9"/>
        <v>0</v>
      </c>
      <c r="AC13" s="56">
        <f t="shared" si="10"/>
        <v>0</v>
      </c>
      <c r="AD13" s="57">
        <f t="shared" si="11"/>
        <v>0</v>
      </c>
      <c r="AE13" s="58">
        <f t="shared" si="12"/>
        <v>4</v>
      </c>
      <c r="AF13" s="52"/>
      <c r="AG13" s="53"/>
      <c r="AH13" s="53"/>
      <c r="AI13" s="53"/>
      <c r="AJ13" s="53"/>
      <c r="AK13" s="59">
        <f t="shared" si="13"/>
        <v>0</v>
      </c>
      <c r="AL13" s="60">
        <f t="shared" si="14"/>
        <v>0</v>
      </c>
      <c r="AM13" s="60">
        <f t="shared" si="15"/>
        <v>0</v>
      </c>
      <c r="AN13" s="60">
        <f t="shared" si="16"/>
        <v>0</v>
      </c>
      <c r="AO13" s="60">
        <f t="shared" si="17"/>
        <v>0</v>
      </c>
      <c r="AP13" s="61">
        <f t="shared" si="18"/>
        <v>0</v>
      </c>
      <c r="AQ13" s="62">
        <f t="shared" si="19"/>
        <v>0</v>
      </c>
      <c r="AR13" s="63">
        <f t="shared" si="20"/>
        <v>4</v>
      </c>
      <c r="AS13" s="52"/>
      <c r="AT13" s="53"/>
      <c r="AU13" s="53"/>
      <c r="AV13" s="53"/>
      <c r="AW13" s="53"/>
      <c r="AX13" s="66">
        <f t="shared" si="21"/>
        <v>0</v>
      </c>
      <c r="AY13" s="67">
        <f t="shared" si="22"/>
        <v>0</v>
      </c>
      <c r="AZ13" s="67">
        <f t="shared" si="23"/>
        <v>0</v>
      </c>
      <c r="BA13" s="67">
        <f t="shared" si="24"/>
        <v>0</v>
      </c>
      <c r="BB13" s="67">
        <f t="shared" si="25"/>
        <v>0</v>
      </c>
      <c r="BC13" s="68">
        <f t="shared" si="26"/>
        <v>0</v>
      </c>
      <c r="BD13" s="69">
        <f t="shared" si="27"/>
        <v>0</v>
      </c>
      <c r="BE13" s="70">
        <f t="shared" si="28"/>
        <v>4</v>
      </c>
      <c r="BF13" s="71">
        <v>0</v>
      </c>
      <c r="BG13" s="72">
        <f t="shared" si="29"/>
        <v>0</v>
      </c>
      <c r="BH13" s="73">
        <f t="shared" si="30"/>
        <v>0</v>
      </c>
      <c r="BI13" s="74">
        <f t="shared" si="31"/>
        <v>0</v>
      </c>
      <c r="BJ13" s="73">
        <f t="shared" si="32"/>
        <v>0</v>
      </c>
      <c r="BK13" s="73">
        <f t="shared" si="33"/>
        <v>0</v>
      </c>
      <c r="BL13" s="73">
        <f t="shared" si="34"/>
        <v>0</v>
      </c>
      <c r="BM13" s="75">
        <f>IF(ISNA(VLOOKUP(H13,UitslagFig!$C$5:$K$251,1,FALSE)),"",VLOOKUP(H13,UitslagFig!$C$5:$K$251,9,FALSE))</f>
        <v>0</v>
      </c>
      <c r="BN13" s="75">
        <f>IF(ISNA(VLOOKUP(K13,UitslagFig!$C$5:$K$251,1,FALSE)),"",VLOOKUP(K13,UitslagFig!$C$5:$K$251,9,FALSE))</f>
        <v>0</v>
      </c>
      <c r="BO13" s="76">
        <f t="shared" si="35"/>
      </c>
      <c r="BP13" s="76">
        <f t="shared" si="36"/>
      </c>
      <c r="BQ13" s="76">
        <f t="shared" si="37"/>
        <v>0</v>
      </c>
      <c r="BR13" s="76">
        <f t="shared" si="38"/>
        <v>0</v>
      </c>
      <c r="BS13" s="77">
        <f t="shared" si="39"/>
      </c>
      <c r="BT13" s="77">
        <f t="shared" si="40"/>
        <v>0</v>
      </c>
      <c r="BU13" s="78">
        <f t="shared" si="41"/>
        <v>0</v>
      </c>
      <c r="BV13" s="79">
        <f t="shared" si="42"/>
      </c>
    </row>
    <row r="14" spans="1:74" ht="12.75">
      <c r="A14" s="8">
        <v>10</v>
      </c>
      <c r="B14" s="24">
        <f t="shared" si="0"/>
        <v>4</v>
      </c>
      <c r="C14" s="44">
        <f t="shared" si="1"/>
        <v>0</v>
      </c>
      <c r="D14" s="45">
        <f>IF(ISNA(VLOOKUP($H14,UitslagFig!$C$5:$K$251,1,FALSE)),"",VLOOKUP($H14,UitslagFig!$C$5:$K$251,3,FALSE))</f>
        <v>0</v>
      </c>
      <c r="E14" s="45"/>
      <c r="F14" s="45"/>
      <c r="G14" s="45">
        <f>IF(ISNA(VLOOKUP($H14,UitslagFig!$C$5:$K$251,1,FALSE)),"",VLOOKUP($H14,UitslagFig!$C$5:$K$251,2,FALSE))</f>
        <v>0</v>
      </c>
      <c r="H14" s="45"/>
      <c r="I14" s="47"/>
      <c r="J14" s="45">
        <f>IF(ISNA(VLOOKUP($K14,UitslagFig!$C$5:$K$251,1,FALSE)),"",VLOOKUP($K14,UitslagFig!$C$5:$K$251,2,FALSE))</f>
        <v>0</v>
      </c>
      <c r="K14" s="45"/>
      <c r="L14" s="47"/>
      <c r="M14" s="48">
        <f>IF(ISNA(VLOOKUP($H14,UitslagFig!$C$5:$K$251,1,FALSE)),"",VLOOKUP($H14,UitslagFig!$C$5:$K$251,5,FALSE))</f>
        <v>0</v>
      </c>
      <c r="N14" s="49"/>
      <c r="O14" s="50">
        <v>0</v>
      </c>
      <c r="P14" s="24">
        <f t="shared" si="2"/>
      </c>
      <c r="Q14" s="51">
        <f t="shared" si="3"/>
        <v>0</v>
      </c>
      <c r="R14" s="24">
        <f t="shared" si="4"/>
      </c>
      <c r="S14" s="52"/>
      <c r="T14" s="53"/>
      <c r="U14" s="53"/>
      <c r="V14" s="53"/>
      <c r="W14" s="53"/>
      <c r="X14" s="54">
        <f t="shared" si="5"/>
        <v>0</v>
      </c>
      <c r="Y14" s="55">
        <f t="shared" si="6"/>
        <v>0</v>
      </c>
      <c r="Z14" s="55">
        <f t="shared" si="7"/>
        <v>0</v>
      </c>
      <c r="AA14" s="55">
        <f t="shared" si="8"/>
        <v>0</v>
      </c>
      <c r="AB14" s="55">
        <f t="shared" si="9"/>
        <v>0</v>
      </c>
      <c r="AC14" s="56">
        <f t="shared" si="10"/>
        <v>0</v>
      </c>
      <c r="AD14" s="57">
        <f t="shared" si="11"/>
        <v>0</v>
      </c>
      <c r="AE14" s="58">
        <f t="shared" si="12"/>
        <v>4</v>
      </c>
      <c r="AF14" s="52"/>
      <c r="AG14" s="53"/>
      <c r="AH14" s="53"/>
      <c r="AI14" s="53"/>
      <c r="AJ14" s="53"/>
      <c r="AK14" s="59">
        <f t="shared" si="13"/>
        <v>0</v>
      </c>
      <c r="AL14" s="60">
        <f t="shared" si="14"/>
        <v>0</v>
      </c>
      <c r="AM14" s="60">
        <f t="shared" si="15"/>
        <v>0</v>
      </c>
      <c r="AN14" s="60">
        <f t="shared" si="16"/>
        <v>0</v>
      </c>
      <c r="AO14" s="60">
        <f t="shared" si="17"/>
        <v>0</v>
      </c>
      <c r="AP14" s="61">
        <f t="shared" si="18"/>
        <v>0</v>
      </c>
      <c r="AQ14" s="62">
        <f t="shared" si="19"/>
        <v>0</v>
      </c>
      <c r="AR14" s="63">
        <f t="shared" si="20"/>
        <v>4</v>
      </c>
      <c r="AS14" s="52"/>
      <c r="AT14" s="53"/>
      <c r="AU14" s="53"/>
      <c r="AV14" s="53"/>
      <c r="AW14" s="53"/>
      <c r="AX14" s="66">
        <f t="shared" si="21"/>
        <v>0</v>
      </c>
      <c r="AY14" s="67">
        <f t="shared" si="22"/>
        <v>0</v>
      </c>
      <c r="AZ14" s="67">
        <f t="shared" si="23"/>
        <v>0</v>
      </c>
      <c r="BA14" s="67">
        <f t="shared" si="24"/>
        <v>0</v>
      </c>
      <c r="BB14" s="67">
        <f t="shared" si="25"/>
        <v>0</v>
      </c>
      <c r="BC14" s="68">
        <f t="shared" si="26"/>
        <v>0</v>
      </c>
      <c r="BD14" s="69">
        <f t="shared" si="27"/>
        <v>0</v>
      </c>
      <c r="BE14" s="70">
        <f t="shared" si="28"/>
        <v>4</v>
      </c>
      <c r="BF14" s="71">
        <v>0</v>
      </c>
      <c r="BG14" s="72">
        <f t="shared" si="29"/>
        <v>0</v>
      </c>
      <c r="BH14" s="73">
        <f t="shared" si="30"/>
        <v>0</v>
      </c>
      <c r="BI14" s="74">
        <f t="shared" si="31"/>
        <v>0</v>
      </c>
      <c r="BJ14" s="73">
        <f t="shared" si="32"/>
        <v>0</v>
      </c>
      <c r="BK14" s="73">
        <f t="shared" si="33"/>
        <v>0</v>
      </c>
      <c r="BL14" s="73">
        <f t="shared" si="34"/>
        <v>0</v>
      </c>
      <c r="BM14" s="75">
        <f>IF(ISNA(VLOOKUP(H14,UitslagFig!$C$5:$K$251,1,FALSE)),"",VLOOKUP(H14,UitslagFig!$C$5:$K$251,9,FALSE))</f>
        <v>0</v>
      </c>
      <c r="BN14" s="75">
        <f>IF(ISNA(VLOOKUP(K14,UitslagFig!$C$5:$K$251,1,FALSE)),"",VLOOKUP(K14,UitslagFig!$C$5:$K$251,9,FALSE))</f>
        <v>0</v>
      </c>
      <c r="BO14" s="76">
        <f t="shared" si="35"/>
      </c>
      <c r="BP14" s="76">
        <f t="shared" si="36"/>
      </c>
      <c r="BQ14" s="76">
        <f t="shared" si="37"/>
        <v>0</v>
      </c>
      <c r="BR14" s="76">
        <f t="shared" si="38"/>
        <v>0</v>
      </c>
      <c r="BS14" s="77">
        <f t="shared" si="39"/>
      </c>
      <c r="BT14" s="77">
        <f t="shared" si="40"/>
        <v>0</v>
      </c>
      <c r="BU14" s="78">
        <f t="shared" si="41"/>
        <v>0</v>
      </c>
      <c r="BV14" s="79">
        <f t="shared" si="42"/>
      </c>
    </row>
    <row r="15" spans="1:256" s="84" customFormat="1" ht="12.75">
      <c r="A15" s="8">
        <v>11</v>
      </c>
      <c r="B15" s="24">
        <f t="shared" si="0"/>
        <v>4</v>
      </c>
      <c r="C15" s="44">
        <f t="shared" si="1"/>
        <v>0</v>
      </c>
      <c r="D15" s="45">
        <f>IF(ISNA(VLOOKUP($H15,UitslagFig!$C$5:$K$251,1,FALSE)),"",VLOOKUP($H15,UitslagFig!$C$5:$K$251,3,FALSE))</f>
        <v>0</v>
      </c>
      <c r="E15" s="45"/>
      <c r="F15" s="45"/>
      <c r="G15" s="45">
        <f>IF(ISNA(VLOOKUP($H15,UitslagFig!$C$5:$K$251,1,FALSE)),"",VLOOKUP($H15,UitslagFig!$C$5:$K$251,2,FALSE))</f>
        <v>0</v>
      </c>
      <c r="H15" s="45"/>
      <c r="I15" s="47"/>
      <c r="J15" s="45">
        <f>IF(ISNA(VLOOKUP($K15,UitslagFig!$C$5:$K$251,1,FALSE)),"",VLOOKUP($K15,UitslagFig!$C$5:$K$251,2,FALSE))</f>
        <v>0</v>
      </c>
      <c r="K15" s="45"/>
      <c r="L15" s="47"/>
      <c r="M15" s="48">
        <f>IF(ISNA(VLOOKUP($H15,UitslagFig!$C$5:$K$251,1,FALSE)),"",VLOOKUP($H15,UitslagFig!$C$5:$K$251,5,FALSE))</f>
        <v>0</v>
      </c>
      <c r="N15" s="49"/>
      <c r="O15" s="50">
        <v>0</v>
      </c>
      <c r="P15" s="24">
        <f t="shared" si="2"/>
      </c>
      <c r="Q15" s="51">
        <f t="shared" si="3"/>
        <v>0</v>
      </c>
      <c r="R15" s="24">
        <f t="shared" si="4"/>
      </c>
      <c r="S15" s="52"/>
      <c r="T15" s="53"/>
      <c r="U15" s="53"/>
      <c r="V15" s="53"/>
      <c r="W15" s="53"/>
      <c r="X15" s="54">
        <f t="shared" si="5"/>
        <v>0</v>
      </c>
      <c r="Y15" s="55">
        <f t="shared" si="6"/>
        <v>0</v>
      </c>
      <c r="Z15" s="55">
        <f t="shared" si="7"/>
        <v>0</v>
      </c>
      <c r="AA15" s="55">
        <f t="shared" si="8"/>
        <v>0</v>
      </c>
      <c r="AB15" s="55">
        <f t="shared" si="9"/>
        <v>0</v>
      </c>
      <c r="AC15" s="56">
        <f t="shared" si="10"/>
        <v>0</v>
      </c>
      <c r="AD15" s="57">
        <f t="shared" si="11"/>
        <v>0</v>
      </c>
      <c r="AE15" s="58">
        <f t="shared" si="12"/>
        <v>4</v>
      </c>
      <c r="AF15" s="52"/>
      <c r="AG15" s="53"/>
      <c r="AH15" s="53"/>
      <c r="AI15" s="53"/>
      <c r="AJ15" s="53"/>
      <c r="AK15" s="59">
        <f t="shared" si="13"/>
        <v>0</v>
      </c>
      <c r="AL15" s="60">
        <f t="shared" si="14"/>
        <v>0</v>
      </c>
      <c r="AM15" s="60">
        <f t="shared" si="15"/>
        <v>0</v>
      </c>
      <c r="AN15" s="60">
        <f t="shared" si="16"/>
        <v>0</v>
      </c>
      <c r="AO15" s="60">
        <f t="shared" si="17"/>
        <v>0</v>
      </c>
      <c r="AP15" s="61">
        <f t="shared" si="18"/>
        <v>0</v>
      </c>
      <c r="AQ15" s="62">
        <f t="shared" si="19"/>
        <v>0</v>
      </c>
      <c r="AR15" s="63">
        <f t="shared" si="20"/>
        <v>4</v>
      </c>
      <c r="AS15" s="52"/>
      <c r="AT15" s="53"/>
      <c r="AU15" s="53"/>
      <c r="AV15" s="53"/>
      <c r="AW15" s="53"/>
      <c r="AX15" s="66">
        <f t="shared" si="21"/>
        <v>0</v>
      </c>
      <c r="AY15" s="67">
        <f t="shared" si="22"/>
        <v>0</v>
      </c>
      <c r="AZ15" s="67">
        <f t="shared" si="23"/>
        <v>0</v>
      </c>
      <c r="BA15" s="67">
        <f t="shared" si="24"/>
        <v>0</v>
      </c>
      <c r="BB15" s="67">
        <f t="shared" si="25"/>
        <v>0</v>
      </c>
      <c r="BC15" s="68">
        <f t="shared" si="26"/>
        <v>0</v>
      </c>
      <c r="BD15" s="69">
        <f t="shared" si="27"/>
        <v>0</v>
      </c>
      <c r="BE15" s="70">
        <f t="shared" si="28"/>
        <v>4</v>
      </c>
      <c r="BF15" s="71">
        <v>0</v>
      </c>
      <c r="BG15" s="72">
        <f t="shared" si="29"/>
        <v>0</v>
      </c>
      <c r="BH15" s="73">
        <f t="shared" si="30"/>
        <v>0</v>
      </c>
      <c r="BI15" s="74">
        <f t="shared" si="31"/>
        <v>0</v>
      </c>
      <c r="BJ15" s="73">
        <f t="shared" si="32"/>
        <v>0</v>
      </c>
      <c r="BK15" s="73">
        <f t="shared" si="33"/>
        <v>0</v>
      </c>
      <c r="BL15" s="73">
        <f t="shared" si="34"/>
        <v>0</v>
      </c>
      <c r="BM15" s="75">
        <f>IF(ISNA(VLOOKUP(H15,UitslagFig!$C$5:$K$251,1,FALSE)),"",VLOOKUP(H15,UitslagFig!$C$5:$K$251,9,FALSE))</f>
        <v>0</v>
      </c>
      <c r="BN15" s="75">
        <f>IF(ISNA(VLOOKUP(K15,UitslagFig!$C$5:$K$251,1,FALSE)),"",VLOOKUP(K15,UitslagFig!$C$5:$K$251,9,FALSE))</f>
        <v>0</v>
      </c>
      <c r="BO15" s="76">
        <f t="shared" si="35"/>
      </c>
      <c r="BP15" s="76">
        <f t="shared" si="36"/>
      </c>
      <c r="BQ15" s="76">
        <f t="shared" si="37"/>
        <v>0</v>
      </c>
      <c r="BR15" s="76">
        <f t="shared" si="38"/>
        <v>0</v>
      </c>
      <c r="BS15" s="77">
        <f t="shared" si="39"/>
      </c>
      <c r="BT15" s="77">
        <f t="shared" si="40"/>
        <v>0</v>
      </c>
      <c r="BU15" s="78">
        <f t="shared" si="41"/>
        <v>0</v>
      </c>
      <c r="BV15" s="79">
        <f t="shared" si="42"/>
      </c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">
        <v>12</v>
      </c>
      <c r="B16" s="24">
        <f t="shared" si="0"/>
        <v>4</v>
      </c>
      <c r="C16" s="44">
        <f t="shared" si="1"/>
        <v>0</v>
      </c>
      <c r="D16" s="45">
        <f>IF(ISNA(VLOOKUP($H16,UitslagFig!$C$5:$K$251,1,FALSE)),"",VLOOKUP($H16,UitslagFig!$C$5:$K$251,3,FALSE))</f>
        <v>0</v>
      </c>
      <c r="E16" s="85"/>
      <c r="F16" s="85"/>
      <c r="G16" s="45">
        <f>IF(ISNA(VLOOKUP($H16,UitslagFig!$C$5:$K$251,1,FALSE)),"",VLOOKUP($H16,UitslagFig!$C$5:$K$251,2,FALSE))</f>
        <v>0</v>
      </c>
      <c r="H16" s="45"/>
      <c r="I16" s="47"/>
      <c r="J16" s="45">
        <f>IF(ISNA(VLOOKUP($K16,UitslagFig!$C$5:$K$251,1,FALSE)),"",VLOOKUP($K16,UitslagFig!$C$5:$K$251,2,FALSE))</f>
        <v>0</v>
      </c>
      <c r="K16" s="85"/>
      <c r="L16" s="47"/>
      <c r="M16" s="48">
        <f>IF(ISNA(VLOOKUP($H16,UitslagFig!$C$5:$K$251,1,FALSE)),"",VLOOKUP($H16,UitslagFig!$C$5:$K$251,5,FALSE))</f>
        <v>0</v>
      </c>
      <c r="N16" s="86"/>
      <c r="O16" s="50">
        <v>0</v>
      </c>
      <c r="P16" s="24">
        <f t="shared" si="2"/>
      </c>
      <c r="Q16" s="51">
        <f t="shared" si="3"/>
        <v>0</v>
      </c>
      <c r="R16" s="24">
        <f t="shared" si="4"/>
      </c>
      <c r="S16" s="52"/>
      <c r="T16" s="53"/>
      <c r="U16" s="53"/>
      <c r="V16" s="53"/>
      <c r="W16" s="53"/>
      <c r="X16" s="54">
        <f t="shared" si="5"/>
        <v>0</v>
      </c>
      <c r="Y16" s="55">
        <f t="shared" si="6"/>
        <v>0</v>
      </c>
      <c r="Z16" s="55">
        <f t="shared" si="7"/>
        <v>0</v>
      </c>
      <c r="AA16" s="55">
        <f t="shared" si="8"/>
        <v>0</v>
      </c>
      <c r="AB16" s="55">
        <f t="shared" si="9"/>
        <v>0</v>
      </c>
      <c r="AC16" s="56">
        <f t="shared" si="10"/>
        <v>0</v>
      </c>
      <c r="AD16" s="57">
        <f t="shared" si="11"/>
        <v>0</v>
      </c>
      <c r="AE16" s="58">
        <f t="shared" si="12"/>
        <v>4</v>
      </c>
      <c r="AF16" s="52"/>
      <c r="AG16" s="53"/>
      <c r="AH16" s="53"/>
      <c r="AI16" s="53"/>
      <c r="AJ16" s="53"/>
      <c r="AK16" s="59">
        <f t="shared" si="13"/>
        <v>0</v>
      </c>
      <c r="AL16" s="60">
        <f t="shared" si="14"/>
        <v>0</v>
      </c>
      <c r="AM16" s="60">
        <f t="shared" si="15"/>
        <v>0</v>
      </c>
      <c r="AN16" s="60">
        <f t="shared" si="16"/>
        <v>0</v>
      </c>
      <c r="AO16" s="60">
        <f t="shared" si="17"/>
        <v>0</v>
      </c>
      <c r="AP16" s="61">
        <f t="shared" si="18"/>
        <v>0</v>
      </c>
      <c r="AQ16" s="62">
        <f t="shared" si="19"/>
        <v>0</v>
      </c>
      <c r="AR16" s="63">
        <f t="shared" si="20"/>
        <v>4</v>
      </c>
      <c r="AS16" s="52"/>
      <c r="AT16" s="53"/>
      <c r="AU16" s="53"/>
      <c r="AV16" s="53"/>
      <c r="AW16" s="53"/>
      <c r="AX16" s="66">
        <f t="shared" si="21"/>
        <v>0</v>
      </c>
      <c r="AY16" s="67">
        <f t="shared" si="22"/>
        <v>0</v>
      </c>
      <c r="AZ16" s="67">
        <f t="shared" si="23"/>
        <v>0</v>
      </c>
      <c r="BA16" s="67">
        <f t="shared" si="24"/>
        <v>0</v>
      </c>
      <c r="BB16" s="67">
        <f t="shared" si="25"/>
        <v>0</v>
      </c>
      <c r="BC16" s="68">
        <f t="shared" si="26"/>
        <v>0</v>
      </c>
      <c r="BD16" s="69">
        <f t="shared" si="27"/>
        <v>0</v>
      </c>
      <c r="BE16" s="70">
        <f t="shared" si="28"/>
        <v>4</v>
      </c>
      <c r="BF16" s="87">
        <v>0</v>
      </c>
      <c r="BG16" s="72">
        <f t="shared" si="29"/>
        <v>0</v>
      </c>
      <c r="BH16" s="73">
        <f t="shared" si="30"/>
        <v>0</v>
      </c>
      <c r="BI16" s="74">
        <f t="shared" si="31"/>
        <v>0</v>
      </c>
      <c r="BJ16" s="73">
        <f t="shared" si="32"/>
        <v>0</v>
      </c>
      <c r="BK16" s="73">
        <f t="shared" si="33"/>
        <v>0</v>
      </c>
      <c r="BL16" s="73">
        <f t="shared" si="34"/>
        <v>0</v>
      </c>
      <c r="BM16" s="75">
        <f>IF(ISNA(VLOOKUP(H16,UitslagFig!$C$5:$K$251,1,FALSE)),"",VLOOKUP(H16,UitslagFig!$C$5:$K$251,9,FALSE))</f>
        <v>0</v>
      </c>
      <c r="BN16" s="75">
        <f>IF(ISNA(VLOOKUP(K16,UitslagFig!$C$5:$K$251,1,FALSE)),"",VLOOKUP(K16,UitslagFig!$C$5:$K$251,9,FALSE))</f>
        <v>0</v>
      </c>
      <c r="BO16" s="76">
        <f t="shared" si="35"/>
      </c>
      <c r="BP16" s="76">
        <f t="shared" si="36"/>
      </c>
      <c r="BQ16" s="88">
        <f t="shared" si="37"/>
        <v>0</v>
      </c>
      <c r="BR16" s="76">
        <f t="shared" si="38"/>
        <v>0</v>
      </c>
      <c r="BS16" s="77">
        <f t="shared" si="39"/>
      </c>
      <c r="BT16" s="89">
        <f t="shared" si="40"/>
        <v>0</v>
      </c>
      <c r="BU16" s="78">
        <f t="shared" si="41"/>
        <v>0</v>
      </c>
      <c r="BV16" s="79">
        <f t="shared" si="42"/>
      </c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74" ht="12.75">
      <c r="A17" s="8">
        <v>13</v>
      </c>
      <c r="B17" s="24">
        <f t="shared" si="0"/>
        <v>4</v>
      </c>
      <c r="C17" s="44">
        <f t="shared" si="1"/>
        <v>0</v>
      </c>
      <c r="D17" s="45">
        <f>IF(ISNA(VLOOKUP($H17,UitslagFig!$C$5:$K$251,1,FALSE)),"",VLOOKUP($H17,UitslagFig!$C$5:$K$251,3,FALSE))</f>
        <v>0</v>
      </c>
      <c r="E17" s="45"/>
      <c r="F17" s="45"/>
      <c r="G17" s="45">
        <f>IF(ISNA(VLOOKUP($H17,UitslagFig!$C$5:$K$251,1,FALSE)),"",VLOOKUP($H17,UitslagFig!$C$5:$K$251,2,FALSE))</f>
        <v>0</v>
      </c>
      <c r="H17" s="45"/>
      <c r="I17" s="47"/>
      <c r="J17" s="45">
        <f>IF(ISNA(VLOOKUP($K17,UitslagFig!$C$5:$K$251,1,FALSE)),"",VLOOKUP($K17,UitslagFig!$C$5:$K$251,2,FALSE))</f>
        <v>0</v>
      </c>
      <c r="K17" s="45"/>
      <c r="L17" s="47"/>
      <c r="M17" s="48">
        <f>IF(ISNA(VLOOKUP($H17,UitslagFig!$C$5:$K$251,1,FALSE)),"",VLOOKUP($H17,UitslagFig!$C$5:$K$251,5,FALSE))</f>
        <v>0</v>
      </c>
      <c r="N17" s="49"/>
      <c r="O17" s="50">
        <v>0</v>
      </c>
      <c r="P17" s="24">
        <f t="shared" si="2"/>
      </c>
      <c r="Q17" s="51">
        <f t="shared" si="3"/>
        <v>0</v>
      </c>
      <c r="R17" s="24">
        <f t="shared" si="4"/>
      </c>
      <c r="S17" s="52"/>
      <c r="T17" s="53"/>
      <c r="U17" s="53"/>
      <c r="V17" s="53"/>
      <c r="W17" s="53"/>
      <c r="X17" s="54">
        <f t="shared" si="5"/>
        <v>0</v>
      </c>
      <c r="Y17" s="55">
        <f t="shared" si="6"/>
        <v>0</v>
      </c>
      <c r="Z17" s="55">
        <f t="shared" si="7"/>
        <v>0</v>
      </c>
      <c r="AA17" s="55">
        <f t="shared" si="8"/>
        <v>0</v>
      </c>
      <c r="AB17" s="55">
        <f t="shared" si="9"/>
        <v>0</v>
      </c>
      <c r="AC17" s="56">
        <f t="shared" si="10"/>
        <v>0</v>
      </c>
      <c r="AD17" s="57">
        <f t="shared" si="11"/>
        <v>0</v>
      </c>
      <c r="AE17" s="58">
        <f t="shared" si="12"/>
        <v>4</v>
      </c>
      <c r="AF17" s="52"/>
      <c r="AG17" s="53"/>
      <c r="AH17" s="53"/>
      <c r="AI17" s="53"/>
      <c r="AJ17" s="53"/>
      <c r="AK17" s="59">
        <f t="shared" si="13"/>
        <v>0</v>
      </c>
      <c r="AL17" s="60">
        <f t="shared" si="14"/>
        <v>0</v>
      </c>
      <c r="AM17" s="60">
        <f t="shared" si="15"/>
        <v>0</v>
      </c>
      <c r="AN17" s="60">
        <f t="shared" si="16"/>
        <v>0</v>
      </c>
      <c r="AO17" s="60">
        <f t="shared" si="17"/>
        <v>0</v>
      </c>
      <c r="AP17" s="61">
        <f t="shared" si="18"/>
        <v>0</v>
      </c>
      <c r="AQ17" s="62">
        <f t="shared" si="19"/>
        <v>0</v>
      </c>
      <c r="AR17" s="63">
        <f t="shared" si="20"/>
        <v>4</v>
      </c>
      <c r="AS17" s="52"/>
      <c r="AT17" s="53"/>
      <c r="AU17" s="53"/>
      <c r="AV17" s="53"/>
      <c r="AW17" s="53"/>
      <c r="AX17" s="66">
        <f t="shared" si="21"/>
        <v>0</v>
      </c>
      <c r="AY17" s="67">
        <f t="shared" si="22"/>
        <v>0</v>
      </c>
      <c r="AZ17" s="67">
        <f t="shared" si="23"/>
        <v>0</v>
      </c>
      <c r="BA17" s="67">
        <f t="shared" si="24"/>
        <v>0</v>
      </c>
      <c r="BB17" s="67">
        <f t="shared" si="25"/>
        <v>0</v>
      </c>
      <c r="BC17" s="68">
        <f t="shared" si="26"/>
        <v>0</v>
      </c>
      <c r="BD17" s="69">
        <f t="shared" si="27"/>
        <v>0</v>
      </c>
      <c r="BE17" s="70">
        <f t="shared" si="28"/>
        <v>4</v>
      </c>
      <c r="BF17" s="71">
        <v>0</v>
      </c>
      <c r="BG17" s="72">
        <f t="shared" si="29"/>
        <v>0</v>
      </c>
      <c r="BH17" s="73">
        <f t="shared" si="30"/>
        <v>0</v>
      </c>
      <c r="BI17" s="74">
        <f t="shared" si="31"/>
        <v>0</v>
      </c>
      <c r="BJ17" s="73">
        <f t="shared" si="32"/>
        <v>0</v>
      </c>
      <c r="BK17" s="73">
        <f t="shared" si="33"/>
        <v>0</v>
      </c>
      <c r="BL17" s="73">
        <f t="shared" si="34"/>
        <v>0</v>
      </c>
      <c r="BM17" s="75">
        <f>IF(ISNA(VLOOKUP(H17,UitslagFig!$C$5:$K$251,1,FALSE)),"",VLOOKUP(H17,UitslagFig!$C$5:$K$251,9,FALSE))</f>
        <v>0</v>
      </c>
      <c r="BN17" s="75">
        <f>IF(ISNA(VLOOKUP(K17,UitslagFig!$C$5:$K$251,1,FALSE)),"",VLOOKUP(K17,UitslagFig!$C$5:$K$251,9,FALSE))</f>
        <v>0</v>
      </c>
      <c r="BO17" s="76">
        <f t="shared" si="35"/>
      </c>
      <c r="BP17" s="76">
        <f t="shared" si="36"/>
      </c>
      <c r="BQ17" s="76">
        <f t="shared" si="37"/>
        <v>0</v>
      </c>
      <c r="BR17" s="76">
        <f t="shared" si="38"/>
        <v>0</v>
      </c>
      <c r="BS17" s="77">
        <f t="shared" si="39"/>
      </c>
      <c r="BT17" s="77">
        <f t="shared" si="40"/>
        <v>0</v>
      </c>
      <c r="BU17" s="78">
        <f t="shared" si="41"/>
        <v>0</v>
      </c>
      <c r="BV17" s="79">
        <f t="shared" si="42"/>
      </c>
    </row>
    <row r="18" spans="1:74" ht="12.75">
      <c r="A18" s="8">
        <v>14</v>
      </c>
      <c r="B18" s="24">
        <f t="shared" si="0"/>
        <v>4</v>
      </c>
      <c r="C18" s="44">
        <f t="shared" si="1"/>
        <v>0</v>
      </c>
      <c r="D18" s="45">
        <f>IF(ISNA(VLOOKUP($H18,UitslagFig!$C$5:$K$251,1,FALSE)),"",VLOOKUP($H18,UitslagFig!$C$5:$K$251,3,FALSE))</f>
        <v>0</v>
      </c>
      <c r="E18" s="45"/>
      <c r="F18" s="45"/>
      <c r="G18" s="45">
        <f>IF(ISNA(VLOOKUP($H18,UitslagFig!$C$5:$K$251,1,FALSE)),"",VLOOKUP($H18,UitslagFig!$C$5:$K$251,2,FALSE))</f>
        <v>0</v>
      </c>
      <c r="H18" s="45"/>
      <c r="I18" s="47"/>
      <c r="J18" s="45">
        <f>IF(ISNA(VLOOKUP($K18,UitslagFig!$C$5:$K$251,1,FALSE)),"",VLOOKUP($K18,UitslagFig!$C$5:$K$251,2,FALSE))</f>
        <v>0</v>
      </c>
      <c r="K18" s="45"/>
      <c r="L18" s="47"/>
      <c r="M18" s="48">
        <f>IF(ISNA(VLOOKUP($H18,UitslagFig!$C$5:$K$251,1,FALSE)),"",VLOOKUP($H18,UitslagFig!$C$5:$K$251,5,FALSE))</f>
        <v>0</v>
      </c>
      <c r="N18" s="49"/>
      <c r="O18" s="50">
        <v>0</v>
      </c>
      <c r="P18" s="24">
        <f t="shared" si="2"/>
      </c>
      <c r="Q18" s="51">
        <f t="shared" si="3"/>
        <v>0</v>
      </c>
      <c r="R18" s="24">
        <f t="shared" si="4"/>
      </c>
      <c r="S18" s="52"/>
      <c r="T18" s="53"/>
      <c r="U18" s="53"/>
      <c r="V18" s="53"/>
      <c r="W18" s="53"/>
      <c r="X18" s="54">
        <f t="shared" si="5"/>
        <v>0</v>
      </c>
      <c r="Y18" s="55">
        <f t="shared" si="6"/>
        <v>0</v>
      </c>
      <c r="Z18" s="55">
        <f t="shared" si="7"/>
        <v>0</v>
      </c>
      <c r="AA18" s="55">
        <f t="shared" si="8"/>
        <v>0</v>
      </c>
      <c r="AB18" s="55">
        <f t="shared" si="9"/>
        <v>0</v>
      </c>
      <c r="AC18" s="56">
        <f t="shared" si="10"/>
        <v>0</v>
      </c>
      <c r="AD18" s="57">
        <f t="shared" si="11"/>
        <v>0</v>
      </c>
      <c r="AE18" s="58">
        <f t="shared" si="12"/>
        <v>4</v>
      </c>
      <c r="AF18" s="52"/>
      <c r="AG18" s="53"/>
      <c r="AH18" s="53"/>
      <c r="AI18" s="53"/>
      <c r="AJ18" s="53"/>
      <c r="AK18" s="59">
        <f t="shared" si="13"/>
        <v>0</v>
      </c>
      <c r="AL18" s="60">
        <f t="shared" si="14"/>
        <v>0</v>
      </c>
      <c r="AM18" s="60">
        <f t="shared" si="15"/>
        <v>0</v>
      </c>
      <c r="AN18" s="60">
        <f t="shared" si="16"/>
        <v>0</v>
      </c>
      <c r="AO18" s="60">
        <f t="shared" si="17"/>
        <v>0</v>
      </c>
      <c r="AP18" s="61">
        <f t="shared" si="18"/>
        <v>0</v>
      </c>
      <c r="AQ18" s="62">
        <f t="shared" si="19"/>
        <v>0</v>
      </c>
      <c r="AR18" s="63">
        <f t="shared" si="20"/>
        <v>4</v>
      </c>
      <c r="AS18" s="52"/>
      <c r="AT18" s="53"/>
      <c r="AU18" s="53"/>
      <c r="AV18" s="53"/>
      <c r="AW18" s="53"/>
      <c r="AX18" s="66">
        <f t="shared" si="21"/>
        <v>0</v>
      </c>
      <c r="AY18" s="67">
        <f t="shared" si="22"/>
        <v>0</v>
      </c>
      <c r="AZ18" s="67">
        <f t="shared" si="23"/>
        <v>0</v>
      </c>
      <c r="BA18" s="67">
        <f t="shared" si="24"/>
        <v>0</v>
      </c>
      <c r="BB18" s="67">
        <f t="shared" si="25"/>
        <v>0</v>
      </c>
      <c r="BC18" s="68">
        <f t="shared" si="26"/>
        <v>0</v>
      </c>
      <c r="BD18" s="69">
        <f t="shared" si="27"/>
        <v>0</v>
      </c>
      <c r="BE18" s="70">
        <f t="shared" si="28"/>
        <v>4</v>
      </c>
      <c r="BF18" s="71">
        <v>0</v>
      </c>
      <c r="BG18" s="72">
        <f t="shared" si="29"/>
        <v>0</v>
      </c>
      <c r="BH18" s="73">
        <f t="shared" si="30"/>
        <v>0</v>
      </c>
      <c r="BI18" s="74">
        <f t="shared" si="31"/>
        <v>0</v>
      </c>
      <c r="BJ18" s="73">
        <f t="shared" si="32"/>
        <v>0</v>
      </c>
      <c r="BK18" s="73">
        <f t="shared" si="33"/>
        <v>0</v>
      </c>
      <c r="BL18" s="73">
        <f t="shared" si="34"/>
        <v>0</v>
      </c>
      <c r="BM18" s="75">
        <f>IF(ISNA(VLOOKUP(H18,UitslagFig!$C$5:$K$251,1,FALSE)),"",VLOOKUP(H18,UitslagFig!$C$5:$K$251,9,FALSE))</f>
        <v>0</v>
      </c>
      <c r="BN18" s="75">
        <f>IF(ISNA(VLOOKUP(K18,UitslagFig!$C$5:$K$251,1,FALSE)),"",VLOOKUP(K18,UitslagFig!$C$5:$K$251,9,FALSE))</f>
        <v>0</v>
      </c>
      <c r="BO18" s="76">
        <f t="shared" si="35"/>
      </c>
      <c r="BP18" s="76">
        <f t="shared" si="36"/>
      </c>
      <c r="BQ18" s="76">
        <f t="shared" si="37"/>
        <v>0</v>
      </c>
      <c r="BR18" s="76">
        <f t="shared" si="38"/>
        <v>0</v>
      </c>
      <c r="BS18" s="77">
        <f t="shared" si="39"/>
      </c>
      <c r="BT18" s="77">
        <f t="shared" si="40"/>
        <v>0</v>
      </c>
      <c r="BU18" s="78">
        <f t="shared" si="41"/>
        <v>0</v>
      </c>
      <c r="BV18" s="79">
        <f t="shared" si="42"/>
      </c>
    </row>
    <row r="19" spans="1:74" ht="12.75">
      <c r="A19" s="8">
        <v>15</v>
      </c>
      <c r="B19" s="24">
        <f t="shared" si="0"/>
        <v>4</v>
      </c>
      <c r="C19" s="44">
        <f t="shared" si="1"/>
        <v>0</v>
      </c>
      <c r="D19" s="45">
        <f>IF(ISNA(VLOOKUP($H19,UitslagFig!$C$5:$K$251,1,FALSE)),"",VLOOKUP($H19,UitslagFig!$C$5:$K$251,3,FALSE))</f>
        <v>0</v>
      </c>
      <c r="E19" s="48"/>
      <c r="F19" s="48"/>
      <c r="G19" s="45">
        <f>IF(ISNA(VLOOKUP($H19,UitslagFig!$C$5:$K$251,1,FALSE)),"",VLOOKUP($H19,UitslagFig!$C$5:$K$251,2,FALSE))</f>
        <v>0</v>
      </c>
      <c r="H19" s="45"/>
      <c r="I19" s="47"/>
      <c r="J19" s="45">
        <f>IF(ISNA(VLOOKUP($K19,UitslagFig!$C$5:$K$251,1,FALSE)),"",VLOOKUP($K19,UitslagFig!$C$5:$K$251,2,FALSE))</f>
        <v>0</v>
      </c>
      <c r="K19" s="48"/>
      <c r="L19" s="47"/>
      <c r="M19" s="48">
        <f>IF(ISNA(VLOOKUP($H19,UitslagFig!$C$5:$K$251,1,FALSE)),"",VLOOKUP($H19,UitslagFig!$C$5:$K$251,5,FALSE))</f>
        <v>0</v>
      </c>
      <c r="N19" s="49"/>
      <c r="O19" s="50">
        <v>0</v>
      </c>
      <c r="P19" s="24">
        <f t="shared" si="2"/>
      </c>
      <c r="Q19" s="51">
        <f t="shared" si="3"/>
        <v>0</v>
      </c>
      <c r="R19" s="24">
        <f t="shared" si="4"/>
      </c>
      <c r="S19" s="52"/>
      <c r="T19" s="53"/>
      <c r="U19" s="53"/>
      <c r="V19" s="53"/>
      <c r="W19" s="53"/>
      <c r="X19" s="54">
        <f t="shared" si="5"/>
        <v>0</v>
      </c>
      <c r="Y19" s="55">
        <f t="shared" si="6"/>
        <v>0</v>
      </c>
      <c r="Z19" s="55">
        <f t="shared" si="7"/>
        <v>0</v>
      </c>
      <c r="AA19" s="55">
        <f t="shared" si="8"/>
        <v>0</v>
      </c>
      <c r="AB19" s="55">
        <f t="shared" si="9"/>
        <v>0</v>
      </c>
      <c r="AC19" s="56">
        <f t="shared" si="10"/>
        <v>0</v>
      </c>
      <c r="AD19" s="57">
        <f t="shared" si="11"/>
        <v>0</v>
      </c>
      <c r="AE19" s="58">
        <f t="shared" si="12"/>
        <v>4</v>
      </c>
      <c r="AF19" s="52"/>
      <c r="AG19" s="53"/>
      <c r="AH19" s="53"/>
      <c r="AI19" s="53"/>
      <c r="AJ19" s="53"/>
      <c r="AK19" s="59">
        <f t="shared" si="13"/>
        <v>0</v>
      </c>
      <c r="AL19" s="60">
        <f t="shared" si="14"/>
        <v>0</v>
      </c>
      <c r="AM19" s="60">
        <f t="shared" si="15"/>
        <v>0</v>
      </c>
      <c r="AN19" s="60">
        <f t="shared" si="16"/>
        <v>0</v>
      </c>
      <c r="AO19" s="60">
        <f t="shared" si="17"/>
        <v>0</v>
      </c>
      <c r="AP19" s="61">
        <f t="shared" si="18"/>
        <v>0</v>
      </c>
      <c r="AQ19" s="62">
        <f t="shared" si="19"/>
        <v>0</v>
      </c>
      <c r="AR19" s="63">
        <f t="shared" si="20"/>
        <v>4</v>
      </c>
      <c r="AS19" s="52"/>
      <c r="AT19" s="53"/>
      <c r="AU19" s="53"/>
      <c r="AV19" s="53"/>
      <c r="AW19" s="53"/>
      <c r="AX19" s="66">
        <f t="shared" si="21"/>
        <v>0</v>
      </c>
      <c r="AY19" s="67">
        <f t="shared" si="22"/>
        <v>0</v>
      </c>
      <c r="AZ19" s="67">
        <f t="shared" si="23"/>
        <v>0</v>
      </c>
      <c r="BA19" s="67">
        <f t="shared" si="24"/>
        <v>0</v>
      </c>
      <c r="BB19" s="67">
        <f t="shared" si="25"/>
        <v>0</v>
      </c>
      <c r="BC19" s="68">
        <f t="shared" si="26"/>
        <v>0</v>
      </c>
      <c r="BD19" s="69">
        <f t="shared" si="27"/>
        <v>0</v>
      </c>
      <c r="BE19" s="70">
        <f t="shared" si="28"/>
        <v>4</v>
      </c>
      <c r="BF19" s="71">
        <v>0</v>
      </c>
      <c r="BG19" s="72">
        <f t="shared" si="29"/>
        <v>0</v>
      </c>
      <c r="BH19" s="73">
        <f t="shared" si="30"/>
        <v>0</v>
      </c>
      <c r="BI19" s="74">
        <f t="shared" si="31"/>
        <v>0</v>
      </c>
      <c r="BJ19" s="73">
        <f t="shared" si="32"/>
        <v>0</v>
      </c>
      <c r="BK19" s="73">
        <f t="shared" si="33"/>
        <v>0</v>
      </c>
      <c r="BL19" s="73">
        <f t="shared" si="34"/>
        <v>0</v>
      </c>
      <c r="BM19" s="75">
        <f>IF(ISNA(VLOOKUP(H19,UitslagFig!$C$5:$K$251,1,FALSE)),"",VLOOKUP(H19,UitslagFig!$C$5:$K$251,9,FALSE))</f>
        <v>0</v>
      </c>
      <c r="BN19" s="75">
        <f>IF(ISNA(VLOOKUP(K19,UitslagFig!$C$5:$K$251,1,FALSE)),"",VLOOKUP(K19,UitslagFig!$C$5:$K$251,9,FALSE))</f>
        <v>0</v>
      </c>
      <c r="BO19" s="76">
        <f t="shared" si="35"/>
      </c>
      <c r="BP19" s="76">
        <f t="shared" si="36"/>
      </c>
      <c r="BQ19" s="76">
        <f t="shared" si="37"/>
        <v>0</v>
      </c>
      <c r="BR19" s="76">
        <f t="shared" si="38"/>
        <v>0</v>
      </c>
      <c r="BS19" s="77">
        <f t="shared" si="39"/>
      </c>
      <c r="BT19" s="77">
        <f t="shared" si="40"/>
        <v>0</v>
      </c>
      <c r="BU19" s="78">
        <f t="shared" si="41"/>
        <v>0</v>
      </c>
      <c r="BV19" s="79">
        <f t="shared" si="42"/>
      </c>
    </row>
    <row r="20" spans="1:74" ht="12.75">
      <c r="A20" s="8">
        <v>16</v>
      </c>
      <c r="B20" s="24">
        <f t="shared" si="0"/>
        <v>4</v>
      </c>
      <c r="C20" s="44">
        <f t="shared" si="1"/>
        <v>0</v>
      </c>
      <c r="D20" s="45">
        <f>IF(ISNA(VLOOKUP($H20,UitslagFig!$C$5:$K$251,1,FALSE)),"",VLOOKUP($H20,UitslagFig!$C$5:$K$251,3,FALSE))</f>
        <v>0</v>
      </c>
      <c r="E20" s="48"/>
      <c r="F20" s="48"/>
      <c r="G20" s="45">
        <f>IF(ISNA(VLOOKUP($H20,UitslagFig!$C$5:$K$251,1,FALSE)),"",VLOOKUP($H20,UitslagFig!$C$5:$K$251,2,FALSE))</f>
        <v>0</v>
      </c>
      <c r="H20" s="45"/>
      <c r="I20" s="47"/>
      <c r="J20" s="45">
        <f>IF(ISNA(VLOOKUP($K20,UitslagFig!$C$5:$K$251,1,FALSE)),"",VLOOKUP($K20,UitslagFig!$C$5:$K$251,2,FALSE))</f>
        <v>0</v>
      </c>
      <c r="K20" s="48"/>
      <c r="L20" s="47"/>
      <c r="M20" s="48">
        <f>IF(ISNA(VLOOKUP($H20,UitslagFig!$C$5:$K$251,1,FALSE)),"",VLOOKUP($H20,UitslagFig!$C$5:$K$251,5,FALSE))</f>
        <v>0</v>
      </c>
      <c r="N20" s="49"/>
      <c r="O20" s="50">
        <v>0</v>
      </c>
      <c r="P20" s="24">
        <f t="shared" si="2"/>
      </c>
      <c r="Q20" s="51">
        <f t="shared" si="3"/>
        <v>0</v>
      </c>
      <c r="R20" s="24">
        <f t="shared" si="4"/>
      </c>
      <c r="S20" s="52"/>
      <c r="T20" s="53"/>
      <c r="U20" s="53"/>
      <c r="V20" s="53"/>
      <c r="W20" s="53"/>
      <c r="X20" s="54">
        <f t="shared" si="5"/>
        <v>0</v>
      </c>
      <c r="Y20" s="55">
        <f t="shared" si="6"/>
        <v>0</v>
      </c>
      <c r="Z20" s="55">
        <f t="shared" si="7"/>
        <v>0</v>
      </c>
      <c r="AA20" s="55">
        <f t="shared" si="8"/>
        <v>0</v>
      </c>
      <c r="AB20" s="55">
        <f t="shared" si="9"/>
        <v>0</v>
      </c>
      <c r="AC20" s="56">
        <f t="shared" si="10"/>
        <v>0</v>
      </c>
      <c r="AD20" s="57">
        <f t="shared" si="11"/>
        <v>0</v>
      </c>
      <c r="AE20" s="58">
        <f t="shared" si="12"/>
        <v>4</v>
      </c>
      <c r="AF20" s="52"/>
      <c r="AG20" s="53"/>
      <c r="AH20" s="53"/>
      <c r="AI20" s="53"/>
      <c r="AJ20" s="53"/>
      <c r="AK20" s="59">
        <f t="shared" si="13"/>
        <v>0</v>
      </c>
      <c r="AL20" s="60">
        <f t="shared" si="14"/>
        <v>0</v>
      </c>
      <c r="AM20" s="60">
        <f t="shared" si="15"/>
        <v>0</v>
      </c>
      <c r="AN20" s="60">
        <f t="shared" si="16"/>
        <v>0</v>
      </c>
      <c r="AO20" s="60">
        <f t="shared" si="17"/>
        <v>0</v>
      </c>
      <c r="AP20" s="61">
        <f t="shared" si="18"/>
        <v>0</v>
      </c>
      <c r="AQ20" s="62">
        <f t="shared" si="19"/>
        <v>0</v>
      </c>
      <c r="AR20" s="63">
        <f t="shared" si="20"/>
        <v>4</v>
      </c>
      <c r="AS20" s="52"/>
      <c r="AT20" s="53"/>
      <c r="AU20" s="53"/>
      <c r="AV20" s="53"/>
      <c r="AW20" s="53"/>
      <c r="AX20" s="66">
        <f t="shared" si="21"/>
        <v>0</v>
      </c>
      <c r="AY20" s="67">
        <f t="shared" si="22"/>
        <v>0</v>
      </c>
      <c r="AZ20" s="67">
        <f t="shared" si="23"/>
        <v>0</v>
      </c>
      <c r="BA20" s="67">
        <f t="shared" si="24"/>
        <v>0</v>
      </c>
      <c r="BB20" s="67">
        <f t="shared" si="25"/>
        <v>0</v>
      </c>
      <c r="BC20" s="68">
        <f t="shared" si="26"/>
        <v>0</v>
      </c>
      <c r="BD20" s="69">
        <f t="shared" si="27"/>
        <v>0</v>
      </c>
      <c r="BE20" s="70">
        <f t="shared" si="28"/>
        <v>4</v>
      </c>
      <c r="BF20" s="71">
        <v>0</v>
      </c>
      <c r="BG20" s="72">
        <f t="shared" si="29"/>
        <v>0</v>
      </c>
      <c r="BH20" s="73">
        <f t="shared" si="30"/>
        <v>0</v>
      </c>
      <c r="BI20" s="74">
        <f t="shared" si="31"/>
        <v>0</v>
      </c>
      <c r="BJ20" s="73">
        <f t="shared" si="32"/>
        <v>0</v>
      </c>
      <c r="BK20" s="73">
        <f t="shared" si="33"/>
        <v>0</v>
      </c>
      <c r="BL20" s="73">
        <f t="shared" si="34"/>
        <v>0</v>
      </c>
      <c r="BM20" s="75">
        <f>IF(ISNA(VLOOKUP(H20,UitslagFig!$C$5:$K$251,1,FALSE)),"",VLOOKUP(H20,UitslagFig!$C$5:$K$251,9,FALSE))</f>
        <v>0</v>
      </c>
      <c r="BN20" s="75">
        <f>IF(ISNA(VLOOKUP(K20,UitslagFig!$C$5:$K$251,1,FALSE)),"",VLOOKUP(K20,UitslagFig!$C$5:$K$251,9,FALSE))</f>
        <v>0</v>
      </c>
      <c r="BO20" s="76">
        <f t="shared" si="35"/>
      </c>
      <c r="BP20" s="76">
        <f t="shared" si="36"/>
      </c>
      <c r="BQ20" s="76">
        <f t="shared" si="37"/>
        <v>0</v>
      </c>
      <c r="BR20" s="76">
        <f t="shared" si="38"/>
        <v>0</v>
      </c>
      <c r="BS20" s="77">
        <f t="shared" si="39"/>
      </c>
      <c r="BT20" s="77">
        <f t="shared" si="40"/>
        <v>0</v>
      </c>
      <c r="BU20" s="78">
        <f t="shared" si="41"/>
        <v>0</v>
      </c>
      <c r="BV20" s="79">
        <f t="shared" si="42"/>
      </c>
    </row>
    <row r="21" spans="1:74" ht="12.75">
      <c r="A21" s="8">
        <v>17</v>
      </c>
      <c r="B21" s="24">
        <f t="shared" si="0"/>
        <v>4</v>
      </c>
      <c r="C21" s="44">
        <f t="shared" si="1"/>
        <v>0</v>
      </c>
      <c r="D21" s="45">
        <f>IF(ISNA(VLOOKUP($H21,UitslagFig!$C$5:$K$251,1,FALSE)),"",VLOOKUP($H21,UitslagFig!$C$5:$K$251,3,FALSE))</f>
        <v>0</v>
      </c>
      <c r="E21" s="48"/>
      <c r="F21" s="48"/>
      <c r="G21" s="45">
        <f>IF(ISNA(VLOOKUP($H21,UitslagFig!$C$5:$K$251,1,FALSE)),"",VLOOKUP($H21,UitslagFig!$C$5:$K$251,2,FALSE))</f>
        <v>0</v>
      </c>
      <c r="H21" s="45"/>
      <c r="I21" s="47"/>
      <c r="J21" s="45">
        <f>IF(ISNA(VLOOKUP($K21,UitslagFig!$C$5:$K$251,1,FALSE)),"",VLOOKUP($K21,UitslagFig!$C$5:$K$251,2,FALSE))</f>
        <v>0</v>
      </c>
      <c r="K21" s="48"/>
      <c r="L21" s="47"/>
      <c r="M21" s="48">
        <f>IF(ISNA(VLOOKUP($H21,UitslagFig!$C$5:$K$251,1,FALSE)),"",VLOOKUP($H21,UitslagFig!$C$5:$K$251,5,FALSE))</f>
        <v>0</v>
      </c>
      <c r="N21" s="49"/>
      <c r="O21" s="50">
        <v>0</v>
      </c>
      <c r="P21" s="24">
        <f t="shared" si="2"/>
      </c>
      <c r="Q21" s="51">
        <f t="shared" si="3"/>
        <v>0</v>
      </c>
      <c r="R21" s="24">
        <f t="shared" si="4"/>
      </c>
      <c r="S21" s="52"/>
      <c r="T21" s="53"/>
      <c r="U21" s="53"/>
      <c r="V21" s="53"/>
      <c r="W21" s="53"/>
      <c r="X21" s="54">
        <f t="shared" si="5"/>
        <v>0</v>
      </c>
      <c r="Y21" s="55">
        <f t="shared" si="6"/>
        <v>0</v>
      </c>
      <c r="Z21" s="55">
        <f t="shared" si="7"/>
        <v>0</v>
      </c>
      <c r="AA21" s="55">
        <f t="shared" si="8"/>
        <v>0</v>
      </c>
      <c r="AB21" s="55">
        <f t="shared" si="9"/>
        <v>0</v>
      </c>
      <c r="AC21" s="56">
        <f t="shared" si="10"/>
        <v>0</v>
      </c>
      <c r="AD21" s="57">
        <f t="shared" si="11"/>
        <v>0</v>
      </c>
      <c r="AE21" s="58">
        <f t="shared" si="12"/>
        <v>4</v>
      </c>
      <c r="AF21" s="52"/>
      <c r="AG21" s="53"/>
      <c r="AH21" s="53"/>
      <c r="AI21" s="53"/>
      <c r="AJ21" s="53"/>
      <c r="AK21" s="59">
        <f t="shared" si="13"/>
        <v>0</v>
      </c>
      <c r="AL21" s="60">
        <f t="shared" si="14"/>
        <v>0</v>
      </c>
      <c r="AM21" s="60">
        <f t="shared" si="15"/>
        <v>0</v>
      </c>
      <c r="AN21" s="60">
        <f t="shared" si="16"/>
        <v>0</v>
      </c>
      <c r="AO21" s="60">
        <f t="shared" si="17"/>
        <v>0</v>
      </c>
      <c r="AP21" s="61">
        <f t="shared" si="18"/>
        <v>0</v>
      </c>
      <c r="AQ21" s="62">
        <f t="shared" si="19"/>
        <v>0</v>
      </c>
      <c r="AR21" s="63">
        <f t="shared" si="20"/>
        <v>4</v>
      </c>
      <c r="AS21" s="52"/>
      <c r="AT21" s="53"/>
      <c r="AU21" s="53"/>
      <c r="AV21" s="53"/>
      <c r="AW21" s="53"/>
      <c r="AX21" s="66">
        <f t="shared" si="21"/>
        <v>0</v>
      </c>
      <c r="AY21" s="67">
        <f t="shared" si="22"/>
        <v>0</v>
      </c>
      <c r="AZ21" s="67">
        <f t="shared" si="23"/>
        <v>0</v>
      </c>
      <c r="BA21" s="67">
        <f t="shared" si="24"/>
        <v>0</v>
      </c>
      <c r="BB21" s="67">
        <f t="shared" si="25"/>
        <v>0</v>
      </c>
      <c r="BC21" s="68">
        <f t="shared" si="26"/>
        <v>0</v>
      </c>
      <c r="BD21" s="69">
        <f t="shared" si="27"/>
        <v>0</v>
      </c>
      <c r="BE21" s="70">
        <f t="shared" si="28"/>
        <v>4</v>
      </c>
      <c r="BF21" s="71">
        <v>0</v>
      </c>
      <c r="BG21" s="72">
        <f t="shared" si="29"/>
        <v>0</v>
      </c>
      <c r="BH21" s="73">
        <f t="shared" si="30"/>
        <v>0</v>
      </c>
      <c r="BI21" s="74">
        <f t="shared" si="31"/>
        <v>0</v>
      </c>
      <c r="BJ21" s="73">
        <f t="shared" si="32"/>
        <v>0</v>
      </c>
      <c r="BK21" s="73">
        <f t="shared" si="33"/>
        <v>0</v>
      </c>
      <c r="BL21" s="73">
        <f t="shared" si="34"/>
        <v>0</v>
      </c>
      <c r="BM21" s="75">
        <f>IF(ISNA(VLOOKUP(H21,UitslagFig!$C$5:$K$251,1,FALSE)),"",VLOOKUP(H21,UitslagFig!$C$5:$K$251,9,FALSE))</f>
        <v>0</v>
      </c>
      <c r="BN21" s="75">
        <f>IF(ISNA(VLOOKUP(K21,UitslagFig!$C$5:$K$251,1,FALSE)),"",VLOOKUP(K21,UitslagFig!$C$5:$K$251,9,FALSE))</f>
        <v>0</v>
      </c>
      <c r="BO21" s="76">
        <f t="shared" si="35"/>
      </c>
      <c r="BP21" s="76">
        <f t="shared" si="36"/>
      </c>
      <c r="BQ21" s="76">
        <f t="shared" si="37"/>
        <v>0</v>
      </c>
      <c r="BR21" s="76">
        <f t="shared" si="38"/>
        <v>0</v>
      </c>
      <c r="BS21" s="77">
        <f t="shared" si="39"/>
      </c>
      <c r="BT21" s="77">
        <f t="shared" si="40"/>
        <v>0</v>
      </c>
      <c r="BU21" s="78">
        <f t="shared" si="41"/>
        <v>0</v>
      </c>
      <c r="BV21" s="79">
        <f t="shared" si="42"/>
      </c>
    </row>
    <row r="22" spans="1:74" ht="12.75">
      <c r="A22" s="8">
        <v>18</v>
      </c>
      <c r="B22" s="24">
        <f t="shared" si="0"/>
        <v>4</v>
      </c>
      <c r="C22" s="44">
        <f t="shared" si="1"/>
        <v>0</v>
      </c>
      <c r="D22" s="45">
        <f>IF(ISNA(VLOOKUP($H22,UitslagFig!$C$5:$K$251,1,FALSE)),"",VLOOKUP($H22,UitslagFig!$C$5:$K$251,3,FALSE))</f>
        <v>0</v>
      </c>
      <c r="E22" s="48"/>
      <c r="F22" s="48"/>
      <c r="G22" s="45">
        <f>IF(ISNA(VLOOKUP($H22,UitslagFig!$C$5:$K$251,1,FALSE)),"",VLOOKUP($H22,UitslagFig!$C$5:$K$251,2,FALSE))</f>
        <v>0</v>
      </c>
      <c r="H22" s="45"/>
      <c r="I22" s="47"/>
      <c r="J22" s="45">
        <f>IF(ISNA(VLOOKUP($K22,UitslagFig!$C$5:$K$251,1,FALSE)),"",VLOOKUP($K22,UitslagFig!$C$5:$K$251,2,FALSE))</f>
        <v>0</v>
      </c>
      <c r="K22" s="48"/>
      <c r="L22" s="47"/>
      <c r="M22" s="48">
        <f>IF(ISNA(VLOOKUP($H22,UitslagFig!$C$5:$K$251,1,FALSE)),"",VLOOKUP($H22,UitslagFig!$C$5:$K$251,5,FALSE))</f>
        <v>0</v>
      </c>
      <c r="N22" s="49"/>
      <c r="O22" s="50">
        <v>0</v>
      </c>
      <c r="P22" s="24">
        <f t="shared" si="2"/>
      </c>
      <c r="Q22" s="51">
        <f t="shared" si="3"/>
        <v>0</v>
      </c>
      <c r="R22" s="24">
        <f t="shared" si="4"/>
      </c>
      <c r="S22" s="52"/>
      <c r="T22" s="53"/>
      <c r="U22" s="53"/>
      <c r="V22" s="53"/>
      <c r="W22" s="53"/>
      <c r="X22" s="54">
        <f t="shared" si="5"/>
        <v>0</v>
      </c>
      <c r="Y22" s="55">
        <f t="shared" si="6"/>
        <v>0</v>
      </c>
      <c r="Z22" s="55">
        <f t="shared" si="7"/>
        <v>0</v>
      </c>
      <c r="AA22" s="55">
        <f t="shared" si="8"/>
        <v>0</v>
      </c>
      <c r="AB22" s="55">
        <f t="shared" si="9"/>
        <v>0</v>
      </c>
      <c r="AC22" s="56">
        <f t="shared" si="10"/>
        <v>0</v>
      </c>
      <c r="AD22" s="57">
        <f t="shared" si="11"/>
        <v>0</v>
      </c>
      <c r="AE22" s="58">
        <f t="shared" si="12"/>
        <v>4</v>
      </c>
      <c r="AF22" s="52"/>
      <c r="AG22" s="53"/>
      <c r="AH22" s="53"/>
      <c r="AI22" s="53"/>
      <c r="AJ22" s="53"/>
      <c r="AK22" s="59">
        <f t="shared" si="13"/>
        <v>0</v>
      </c>
      <c r="AL22" s="60">
        <f t="shared" si="14"/>
        <v>0</v>
      </c>
      <c r="AM22" s="60">
        <f t="shared" si="15"/>
        <v>0</v>
      </c>
      <c r="AN22" s="60">
        <f t="shared" si="16"/>
        <v>0</v>
      </c>
      <c r="AO22" s="60">
        <f t="shared" si="17"/>
        <v>0</v>
      </c>
      <c r="AP22" s="61">
        <f t="shared" si="18"/>
        <v>0</v>
      </c>
      <c r="AQ22" s="62">
        <f t="shared" si="19"/>
        <v>0</v>
      </c>
      <c r="AR22" s="63">
        <f t="shared" si="20"/>
        <v>4</v>
      </c>
      <c r="AS22" s="52"/>
      <c r="AT22" s="53"/>
      <c r="AU22" s="53"/>
      <c r="AV22" s="53"/>
      <c r="AW22" s="53"/>
      <c r="AX22" s="66">
        <f t="shared" si="21"/>
        <v>0</v>
      </c>
      <c r="AY22" s="67">
        <f t="shared" si="22"/>
        <v>0</v>
      </c>
      <c r="AZ22" s="67">
        <f t="shared" si="23"/>
        <v>0</v>
      </c>
      <c r="BA22" s="67">
        <f t="shared" si="24"/>
        <v>0</v>
      </c>
      <c r="BB22" s="67">
        <f t="shared" si="25"/>
        <v>0</v>
      </c>
      <c r="BC22" s="68">
        <f t="shared" si="26"/>
        <v>0</v>
      </c>
      <c r="BD22" s="69">
        <f t="shared" si="27"/>
        <v>0</v>
      </c>
      <c r="BE22" s="70">
        <f t="shared" si="28"/>
        <v>4</v>
      </c>
      <c r="BF22" s="71">
        <v>0</v>
      </c>
      <c r="BG22" s="72">
        <f t="shared" si="29"/>
        <v>0</v>
      </c>
      <c r="BH22" s="73">
        <f t="shared" si="30"/>
        <v>0</v>
      </c>
      <c r="BI22" s="74">
        <f t="shared" si="31"/>
        <v>0</v>
      </c>
      <c r="BJ22" s="73">
        <f t="shared" si="32"/>
        <v>0</v>
      </c>
      <c r="BK22" s="73">
        <f t="shared" si="33"/>
        <v>0</v>
      </c>
      <c r="BL22" s="73">
        <f t="shared" si="34"/>
        <v>0</v>
      </c>
      <c r="BM22" s="75">
        <f>IF(ISNA(VLOOKUP(H22,UitslagFig!$C$5:$K$251,1,FALSE)),"",VLOOKUP(H22,UitslagFig!$C$5:$K$251,9,FALSE))</f>
        <v>0</v>
      </c>
      <c r="BN22" s="75">
        <f>IF(ISNA(VLOOKUP(K22,UitslagFig!$C$5:$K$251,1,FALSE)),"",VLOOKUP(K22,UitslagFig!$C$5:$K$251,9,FALSE))</f>
        <v>0</v>
      </c>
      <c r="BO22" s="76">
        <f t="shared" si="35"/>
      </c>
      <c r="BP22" s="76">
        <f t="shared" si="36"/>
      </c>
      <c r="BQ22" s="76">
        <f t="shared" si="37"/>
        <v>0</v>
      </c>
      <c r="BR22" s="76">
        <f t="shared" si="38"/>
        <v>0</v>
      </c>
      <c r="BS22" s="77">
        <f t="shared" si="39"/>
      </c>
      <c r="BT22" s="77">
        <f t="shared" si="40"/>
        <v>0</v>
      </c>
      <c r="BU22" s="78">
        <f t="shared" si="41"/>
        <v>0</v>
      </c>
      <c r="BV22" s="79">
        <f t="shared" si="42"/>
      </c>
    </row>
    <row r="23" spans="1:74" ht="12.75">
      <c r="A23" s="8">
        <v>19</v>
      </c>
      <c r="B23" s="24">
        <f t="shared" si="0"/>
        <v>4</v>
      </c>
      <c r="C23" s="44">
        <f t="shared" si="1"/>
        <v>0</v>
      </c>
      <c r="D23" s="45">
        <f>IF(ISNA(VLOOKUP($H23,UitslagFig!$C$5:$K$251,1,FALSE)),"",VLOOKUP($H23,UitslagFig!$C$5:$K$251,3,FALSE))</f>
        <v>0</v>
      </c>
      <c r="E23" s="48"/>
      <c r="F23" s="48"/>
      <c r="G23" s="45">
        <f>IF(ISNA(VLOOKUP($H23,UitslagFig!$C$5:$K$251,1,FALSE)),"",VLOOKUP($H23,UitslagFig!$C$5:$K$251,2,FALSE))</f>
        <v>0</v>
      </c>
      <c r="H23" s="45"/>
      <c r="I23" s="47"/>
      <c r="J23" s="45">
        <f>IF(ISNA(VLOOKUP($K23,UitslagFig!$C$5:$K$251,1,FALSE)),"",VLOOKUP($K23,UitslagFig!$C$5:$K$251,2,FALSE))</f>
        <v>0</v>
      </c>
      <c r="K23" s="48"/>
      <c r="L23" s="47"/>
      <c r="M23" s="48">
        <f>IF(ISNA(VLOOKUP($H23,UitslagFig!$C$5:$K$251,1,FALSE)),"",VLOOKUP($H23,UitslagFig!$C$5:$K$251,5,FALSE))</f>
        <v>0</v>
      </c>
      <c r="N23" s="49"/>
      <c r="O23" s="50">
        <v>0</v>
      </c>
      <c r="P23" s="24">
        <f t="shared" si="2"/>
      </c>
      <c r="Q23" s="51">
        <f t="shared" si="3"/>
        <v>0</v>
      </c>
      <c r="R23" s="24">
        <f t="shared" si="4"/>
      </c>
      <c r="S23" s="52"/>
      <c r="T23" s="53"/>
      <c r="U23" s="53"/>
      <c r="V23" s="53"/>
      <c r="W23" s="53"/>
      <c r="X23" s="54">
        <f t="shared" si="5"/>
        <v>0</v>
      </c>
      <c r="Y23" s="55">
        <f t="shared" si="6"/>
        <v>0</v>
      </c>
      <c r="Z23" s="55">
        <f t="shared" si="7"/>
        <v>0</v>
      </c>
      <c r="AA23" s="55">
        <f t="shared" si="8"/>
        <v>0</v>
      </c>
      <c r="AB23" s="55">
        <f t="shared" si="9"/>
        <v>0</v>
      </c>
      <c r="AC23" s="56">
        <f t="shared" si="10"/>
        <v>0</v>
      </c>
      <c r="AD23" s="57">
        <f t="shared" si="11"/>
        <v>0</v>
      </c>
      <c r="AE23" s="58">
        <f t="shared" si="12"/>
        <v>4</v>
      </c>
      <c r="AF23" s="52"/>
      <c r="AG23" s="53"/>
      <c r="AH23" s="53"/>
      <c r="AI23" s="53"/>
      <c r="AJ23" s="53"/>
      <c r="AK23" s="59">
        <f t="shared" si="13"/>
        <v>0</v>
      </c>
      <c r="AL23" s="60">
        <f t="shared" si="14"/>
        <v>0</v>
      </c>
      <c r="AM23" s="60">
        <f t="shared" si="15"/>
        <v>0</v>
      </c>
      <c r="AN23" s="60">
        <f t="shared" si="16"/>
        <v>0</v>
      </c>
      <c r="AO23" s="60">
        <f t="shared" si="17"/>
        <v>0</v>
      </c>
      <c r="AP23" s="61">
        <f t="shared" si="18"/>
        <v>0</v>
      </c>
      <c r="AQ23" s="62">
        <f t="shared" si="19"/>
        <v>0</v>
      </c>
      <c r="AR23" s="63">
        <f t="shared" si="20"/>
        <v>4</v>
      </c>
      <c r="AS23" s="52"/>
      <c r="AT23" s="53"/>
      <c r="AU23" s="53"/>
      <c r="AV23" s="53"/>
      <c r="AW23" s="53"/>
      <c r="AX23" s="66">
        <f t="shared" si="21"/>
        <v>0</v>
      </c>
      <c r="AY23" s="67">
        <f t="shared" si="22"/>
        <v>0</v>
      </c>
      <c r="AZ23" s="67">
        <f t="shared" si="23"/>
        <v>0</v>
      </c>
      <c r="BA23" s="67">
        <f t="shared" si="24"/>
        <v>0</v>
      </c>
      <c r="BB23" s="67">
        <f t="shared" si="25"/>
        <v>0</v>
      </c>
      <c r="BC23" s="68">
        <f t="shared" si="26"/>
        <v>0</v>
      </c>
      <c r="BD23" s="69">
        <f t="shared" si="27"/>
        <v>0</v>
      </c>
      <c r="BE23" s="70">
        <f t="shared" si="28"/>
        <v>4</v>
      </c>
      <c r="BF23" s="71">
        <v>0</v>
      </c>
      <c r="BG23" s="72">
        <f t="shared" si="29"/>
        <v>0</v>
      </c>
      <c r="BH23" s="73">
        <f t="shared" si="30"/>
        <v>0</v>
      </c>
      <c r="BI23" s="74">
        <f t="shared" si="31"/>
        <v>0</v>
      </c>
      <c r="BJ23" s="73">
        <f t="shared" si="32"/>
        <v>0</v>
      </c>
      <c r="BK23" s="73">
        <f t="shared" si="33"/>
        <v>0</v>
      </c>
      <c r="BL23" s="73">
        <f t="shared" si="34"/>
        <v>0</v>
      </c>
      <c r="BM23" s="75">
        <f>IF(ISNA(VLOOKUP(H23,UitslagFig!$C$5:$K$251,1,FALSE)),"",VLOOKUP(H23,UitslagFig!$C$5:$K$251,9,FALSE))</f>
        <v>0</v>
      </c>
      <c r="BN23" s="75">
        <f>IF(ISNA(VLOOKUP(K23,UitslagFig!$C$5:$K$251,1,FALSE)),"",VLOOKUP(K23,UitslagFig!$C$5:$K$251,9,FALSE))</f>
        <v>0</v>
      </c>
      <c r="BO23" s="76">
        <f t="shared" si="35"/>
      </c>
      <c r="BP23" s="76">
        <f t="shared" si="36"/>
      </c>
      <c r="BQ23" s="76">
        <f t="shared" si="37"/>
        <v>0</v>
      </c>
      <c r="BR23" s="76">
        <f t="shared" si="38"/>
        <v>0</v>
      </c>
      <c r="BS23" s="77">
        <f t="shared" si="39"/>
      </c>
      <c r="BT23" s="77">
        <f t="shared" si="40"/>
        <v>0</v>
      </c>
      <c r="BU23" s="78">
        <f t="shared" si="41"/>
        <v>0</v>
      </c>
      <c r="BV23" s="79">
        <f t="shared" si="42"/>
      </c>
    </row>
    <row r="24" spans="1:74" ht="12.75">
      <c r="A24" s="8">
        <v>20</v>
      </c>
      <c r="B24" s="24">
        <f t="shared" si="0"/>
        <v>4</v>
      </c>
      <c r="C24" s="44">
        <f t="shared" si="1"/>
        <v>0</v>
      </c>
      <c r="D24" s="45">
        <f>IF(ISNA(VLOOKUP($H24,UitslagFig!$C$5:$K$251,1,FALSE)),"",VLOOKUP($H24,UitslagFig!$C$5:$K$251,3,FALSE))</f>
        <v>0</v>
      </c>
      <c r="E24" s="48"/>
      <c r="F24" s="48"/>
      <c r="G24" s="45">
        <f>IF(ISNA(VLOOKUP($H24,UitslagFig!$C$5:$K$251,1,FALSE)),"",VLOOKUP($H24,UitslagFig!$C$5:$K$251,2,FALSE))</f>
        <v>0</v>
      </c>
      <c r="H24" s="45"/>
      <c r="I24" s="47"/>
      <c r="J24" s="45">
        <f>IF(ISNA(VLOOKUP($K24,UitslagFig!$C$5:$K$251,1,FALSE)),"",VLOOKUP($K24,UitslagFig!$C$5:$K$251,2,FALSE))</f>
        <v>0</v>
      </c>
      <c r="K24" s="48"/>
      <c r="L24" s="47"/>
      <c r="M24" s="48">
        <f>IF(ISNA(VLOOKUP($H24,UitslagFig!$C$5:$K$251,1,FALSE)),"",VLOOKUP($H24,UitslagFig!$C$5:$K$251,5,FALSE))</f>
        <v>0</v>
      </c>
      <c r="N24" s="49"/>
      <c r="O24" s="50">
        <v>0</v>
      </c>
      <c r="P24" s="24">
        <f t="shared" si="2"/>
      </c>
      <c r="Q24" s="51">
        <f t="shared" si="3"/>
        <v>0</v>
      </c>
      <c r="R24" s="24">
        <f t="shared" si="4"/>
      </c>
      <c r="S24" s="52"/>
      <c r="T24" s="53"/>
      <c r="U24" s="53"/>
      <c r="V24" s="53"/>
      <c r="W24" s="53"/>
      <c r="X24" s="54">
        <f t="shared" si="5"/>
        <v>0</v>
      </c>
      <c r="Y24" s="55">
        <f t="shared" si="6"/>
        <v>0</v>
      </c>
      <c r="Z24" s="55">
        <f t="shared" si="7"/>
        <v>0</v>
      </c>
      <c r="AA24" s="55">
        <f t="shared" si="8"/>
        <v>0</v>
      </c>
      <c r="AB24" s="55">
        <f t="shared" si="9"/>
        <v>0</v>
      </c>
      <c r="AC24" s="56">
        <f t="shared" si="10"/>
        <v>0</v>
      </c>
      <c r="AD24" s="57">
        <f t="shared" si="11"/>
        <v>0</v>
      </c>
      <c r="AE24" s="58">
        <f t="shared" si="12"/>
        <v>4</v>
      </c>
      <c r="AF24" s="52"/>
      <c r="AG24" s="53"/>
      <c r="AH24" s="53"/>
      <c r="AI24" s="53"/>
      <c r="AJ24" s="53"/>
      <c r="AK24" s="59">
        <f t="shared" si="13"/>
        <v>0</v>
      </c>
      <c r="AL24" s="60">
        <f t="shared" si="14"/>
        <v>0</v>
      </c>
      <c r="AM24" s="60">
        <f t="shared" si="15"/>
        <v>0</v>
      </c>
      <c r="AN24" s="60">
        <f t="shared" si="16"/>
        <v>0</v>
      </c>
      <c r="AO24" s="60">
        <f t="shared" si="17"/>
        <v>0</v>
      </c>
      <c r="AP24" s="61">
        <f t="shared" si="18"/>
        <v>0</v>
      </c>
      <c r="AQ24" s="62">
        <f t="shared" si="19"/>
        <v>0</v>
      </c>
      <c r="AR24" s="63">
        <f t="shared" si="20"/>
        <v>4</v>
      </c>
      <c r="AS24" s="52"/>
      <c r="AT24" s="53"/>
      <c r="AU24" s="53"/>
      <c r="AV24" s="53"/>
      <c r="AW24" s="53"/>
      <c r="AX24" s="66">
        <f t="shared" si="21"/>
        <v>0</v>
      </c>
      <c r="AY24" s="67">
        <f t="shared" si="22"/>
        <v>0</v>
      </c>
      <c r="AZ24" s="67">
        <f t="shared" si="23"/>
        <v>0</v>
      </c>
      <c r="BA24" s="67">
        <f t="shared" si="24"/>
        <v>0</v>
      </c>
      <c r="BB24" s="67">
        <f t="shared" si="25"/>
        <v>0</v>
      </c>
      <c r="BC24" s="68">
        <f t="shared" si="26"/>
        <v>0</v>
      </c>
      <c r="BD24" s="69">
        <f t="shared" si="27"/>
        <v>0</v>
      </c>
      <c r="BE24" s="70">
        <f t="shared" si="28"/>
        <v>4</v>
      </c>
      <c r="BF24" s="71">
        <v>0</v>
      </c>
      <c r="BG24" s="72">
        <f t="shared" si="29"/>
        <v>0</v>
      </c>
      <c r="BH24" s="73">
        <f t="shared" si="30"/>
        <v>0</v>
      </c>
      <c r="BI24" s="74">
        <f t="shared" si="31"/>
        <v>0</v>
      </c>
      <c r="BJ24" s="73">
        <f t="shared" si="32"/>
        <v>0</v>
      </c>
      <c r="BK24" s="73">
        <f t="shared" si="33"/>
        <v>0</v>
      </c>
      <c r="BL24" s="73">
        <f t="shared" si="34"/>
        <v>0</v>
      </c>
      <c r="BM24" s="75">
        <f>IF(ISNA(VLOOKUP(H24,UitslagFig!$C$5:$K$251,1,FALSE)),"",VLOOKUP(H24,UitslagFig!$C$5:$K$251,9,FALSE))</f>
        <v>0</v>
      </c>
      <c r="BN24" s="75">
        <f>IF(ISNA(VLOOKUP(K24,UitslagFig!$C$5:$K$251,1,FALSE)),"",VLOOKUP(K24,UitslagFig!$C$5:$K$251,9,FALSE))</f>
        <v>0</v>
      </c>
      <c r="BO24" s="76">
        <f t="shared" si="35"/>
      </c>
      <c r="BP24" s="76">
        <f t="shared" si="36"/>
      </c>
      <c r="BQ24" s="76">
        <f t="shared" si="37"/>
        <v>0</v>
      </c>
      <c r="BR24" s="76">
        <f t="shared" si="38"/>
        <v>0</v>
      </c>
      <c r="BS24" s="77">
        <f t="shared" si="39"/>
      </c>
      <c r="BT24" s="77">
        <f t="shared" si="40"/>
        <v>0</v>
      </c>
      <c r="BU24" s="78">
        <f t="shared" si="41"/>
        <v>0</v>
      </c>
      <c r="BV24" s="79">
        <f t="shared" si="42"/>
      </c>
    </row>
    <row r="25" spans="1:74" ht="12.75">
      <c r="A25" s="8">
        <v>21</v>
      </c>
      <c r="B25" s="24">
        <f t="shared" si="0"/>
        <v>4</v>
      </c>
      <c r="C25" s="44">
        <f t="shared" si="1"/>
        <v>0</v>
      </c>
      <c r="D25" s="45">
        <f>IF(ISNA(VLOOKUP($H25,UitslagFig!$C$5:$K$251,1,FALSE)),"",VLOOKUP($H25,UitslagFig!$C$5:$K$251,3,FALSE))</f>
        <v>0</v>
      </c>
      <c r="E25" s="48"/>
      <c r="F25" s="48"/>
      <c r="G25" s="45">
        <f>IF(ISNA(VLOOKUP($H25,UitslagFig!$C$5:$K$251,1,FALSE)),"",VLOOKUP($H25,UitslagFig!$C$5:$K$251,2,FALSE))</f>
        <v>0</v>
      </c>
      <c r="H25" s="45"/>
      <c r="I25" s="47"/>
      <c r="J25" s="45">
        <f>IF(ISNA(VLOOKUP($K25,UitslagFig!$C$5:$K$251,1,FALSE)),"",VLOOKUP($K25,UitslagFig!$C$5:$K$251,2,FALSE))</f>
        <v>0</v>
      </c>
      <c r="K25" s="48"/>
      <c r="L25" s="47"/>
      <c r="M25" s="48">
        <f>IF(ISNA(VLOOKUP($H25,UitslagFig!$C$5:$K$251,1,FALSE)),"",VLOOKUP($H25,UitslagFig!$C$5:$K$251,5,FALSE))</f>
        <v>0</v>
      </c>
      <c r="N25" s="49"/>
      <c r="O25" s="50">
        <v>0</v>
      </c>
      <c r="P25" s="24">
        <f t="shared" si="2"/>
      </c>
      <c r="Q25" s="51">
        <f t="shared" si="3"/>
        <v>0</v>
      </c>
      <c r="R25" s="24">
        <f t="shared" si="4"/>
      </c>
      <c r="S25" s="52"/>
      <c r="T25" s="53"/>
      <c r="U25" s="53"/>
      <c r="V25" s="53"/>
      <c r="W25" s="53"/>
      <c r="X25" s="54">
        <f t="shared" si="5"/>
        <v>0</v>
      </c>
      <c r="Y25" s="55">
        <f t="shared" si="6"/>
        <v>0</v>
      </c>
      <c r="Z25" s="55">
        <f t="shared" si="7"/>
        <v>0</v>
      </c>
      <c r="AA25" s="55">
        <f t="shared" si="8"/>
        <v>0</v>
      </c>
      <c r="AB25" s="55">
        <f t="shared" si="9"/>
        <v>0</v>
      </c>
      <c r="AC25" s="56">
        <f t="shared" si="10"/>
        <v>0</v>
      </c>
      <c r="AD25" s="57">
        <f t="shared" si="11"/>
        <v>0</v>
      </c>
      <c r="AE25" s="58">
        <f t="shared" si="12"/>
        <v>4</v>
      </c>
      <c r="AF25" s="52"/>
      <c r="AG25" s="53"/>
      <c r="AH25" s="53"/>
      <c r="AI25" s="53"/>
      <c r="AJ25" s="53"/>
      <c r="AK25" s="59">
        <f t="shared" si="13"/>
        <v>0</v>
      </c>
      <c r="AL25" s="60">
        <f t="shared" si="14"/>
        <v>0</v>
      </c>
      <c r="AM25" s="60">
        <f t="shared" si="15"/>
        <v>0</v>
      </c>
      <c r="AN25" s="60">
        <f t="shared" si="16"/>
        <v>0</v>
      </c>
      <c r="AO25" s="60">
        <f t="shared" si="17"/>
        <v>0</v>
      </c>
      <c r="AP25" s="61">
        <f t="shared" si="18"/>
        <v>0</v>
      </c>
      <c r="AQ25" s="62">
        <f t="shared" si="19"/>
        <v>0</v>
      </c>
      <c r="AR25" s="63">
        <f t="shared" si="20"/>
        <v>4</v>
      </c>
      <c r="AS25" s="52"/>
      <c r="AT25" s="53"/>
      <c r="AU25" s="53"/>
      <c r="AV25" s="53"/>
      <c r="AW25" s="53"/>
      <c r="AX25" s="66">
        <f t="shared" si="21"/>
        <v>0</v>
      </c>
      <c r="AY25" s="67">
        <f t="shared" si="22"/>
        <v>0</v>
      </c>
      <c r="AZ25" s="67">
        <f t="shared" si="23"/>
        <v>0</v>
      </c>
      <c r="BA25" s="67">
        <f t="shared" si="24"/>
        <v>0</v>
      </c>
      <c r="BB25" s="67">
        <f t="shared" si="25"/>
        <v>0</v>
      </c>
      <c r="BC25" s="68">
        <f t="shared" si="26"/>
        <v>0</v>
      </c>
      <c r="BD25" s="69">
        <f t="shared" si="27"/>
        <v>0</v>
      </c>
      <c r="BE25" s="70">
        <f t="shared" si="28"/>
        <v>4</v>
      </c>
      <c r="BF25" s="71">
        <v>0</v>
      </c>
      <c r="BG25" s="72">
        <f t="shared" si="29"/>
        <v>0</v>
      </c>
      <c r="BH25" s="73">
        <f t="shared" si="30"/>
        <v>0</v>
      </c>
      <c r="BI25" s="74">
        <f t="shared" si="31"/>
        <v>0</v>
      </c>
      <c r="BJ25" s="73">
        <f t="shared" si="32"/>
        <v>0</v>
      </c>
      <c r="BK25" s="73">
        <f t="shared" si="33"/>
        <v>0</v>
      </c>
      <c r="BL25" s="73">
        <f t="shared" si="34"/>
        <v>0</v>
      </c>
      <c r="BM25" s="75">
        <f>IF(ISNA(VLOOKUP(H25,UitslagFig!$C$5:$K$251,1,FALSE)),"",VLOOKUP(H25,UitslagFig!$C$5:$K$251,9,FALSE))</f>
        <v>0</v>
      </c>
      <c r="BN25" s="75">
        <f>IF(ISNA(VLOOKUP(K25,UitslagFig!$C$5:$K$251,1,FALSE)),"",VLOOKUP(K25,UitslagFig!$C$5:$K$251,9,FALSE))</f>
        <v>0</v>
      </c>
      <c r="BO25" s="76">
        <f t="shared" si="35"/>
      </c>
      <c r="BP25" s="76">
        <f t="shared" si="36"/>
      </c>
      <c r="BQ25" s="76">
        <f t="shared" si="37"/>
        <v>0</v>
      </c>
      <c r="BR25" s="76">
        <f t="shared" si="38"/>
        <v>0</v>
      </c>
      <c r="BS25" s="77">
        <f t="shared" si="39"/>
      </c>
      <c r="BT25" s="77">
        <f t="shared" si="40"/>
        <v>0</v>
      </c>
      <c r="BU25" s="78">
        <f t="shared" si="41"/>
        <v>0</v>
      </c>
      <c r="BV25" s="79">
        <f t="shared" si="42"/>
      </c>
    </row>
    <row r="26" spans="1:74" ht="12.75">
      <c r="A26" s="8">
        <v>22</v>
      </c>
      <c r="B26" s="24">
        <f t="shared" si="0"/>
        <v>4</v>
      </c>
      <c r="C26" s="44">
        <f t="shared" si="1"/>
        <v>0</v>
      </c>
      <c r="D26" s="45">
        <f>IF(ISNA(VLOOKUP($H26,UitslagFig!$C$5:$K$251,1,FALSE)),"",VLOOKUP($H26,UitslagFig!$C$5:$K$251,3,FALSE))</f>
        <v>0</v>
      </c>
      <c r="E26" s="48"/>
      <c r="F26" s="48"/>
      <c r="G26" s="45">
        <f>IF(ISNA(VLOOKUP($H26,UitslagFig!$C$5:$K$251,1,FALSE)),"",VLOOKUP($H26,UitslagFig!$C$5:$K$251,2,FALSE))</f>
        <v>0</v>
      </c>
      <c r="H26" s="45"/>
      <c r="I26" s="47"/>
      <c r="J26" s="45">
        <f>IF(ISNA(VLOOKUP($K26,UitslagFig!$C$5:$K$251,1,FALSE)),"",VLOOKUP($K26,UitslagFig!$C$5:$K$251,2,FALSE))</f>
        <v>0</v>
      </c>
      <c r="K26" s="48"/>
      <c r="L26" s="47"/>
      <c r="M26" s="48">
        <f>IF(ISNA(VLOOKUP($H26,UitslagFig!$C$5:$K$251,1,FALSE)),"",VLOOKUP($H26,UitslagFig!$C$5:$K$251,5,FALSE))</f>
        <v>0</v>
      </c>
      <c r="N26" s="49"/>
      <c r="O26" s="50">
        <v>0</v>
      </c>
      <c r="P26" s="24">
        <f t="shared" si="2"/>
      </c>
      <c r="Q26" s="51">
        <f t="shared" si="3"/>
        <v>0</v>
      </c>
      <c r="R26" s="24">
        <f t="shared" si="4"/>
      </c>
      <c r="S26" s="52"/>
      <c r="T26" s="53"/>
      <c r="U26" s="53"/>
      <c r="V26" s="53"/>
      <c r="W26" s="53"/>
      <c r="X26" s="54">
        <f t="shared" si="5"/>
        <v>0</v>
      </c>
      <c r="Y26" s="55">
        <f t="shared" si="6"/>
        <v>0</v>
      </c>
      <c r="Z26" s="55">
        <f t="shared" si="7"/>
        <v>0</v>
      </c>
      <c r="AA26" s="55">
        <f t="shared" si="8"/>
        <v>0</v>
      </c>
      <c r="AB26" s="55">
        <f t="shared" si="9"/>
        <v>0</v>
      </c>
      <c r="AC26" s="56">
        <f t="shared" si="10"/>
        <v>0</v>
      </c>
      <c r="AD26" s="57">
        <f t="shared" si="11"/>
        <v>0</v>
      </c>
      <c r="AE26" s="58">
        <f t="shared" si="12"/>
        <v>4</v>
      </c>
      <c r="AF26" s="52"/>
      <c r="AG26" s="53"/>
      <c r="AH26" s="53"/>
      <c r="AI26" s="53"/>
      <c r="AJ26" s="53"/>
      <c r="AK26" s="59">
        <f t="shared" si="13"/>
        <v>0</v>
      </c>
      <c r="AL26" s="60">
        <f t="shared" si="14"/>
        <v>0</v>
      </c>
      <c r="AM26" s="60">
        <f t="shared" si="15"/>
        <v>0</v>
      </c>
      <c r="AN26" s="60">
        <f t="shared" si="16"/>
        <v>0</v>
      </c>
      <c r="AO26" s="60">
        <f t="shared" si="17"/>
        <v>0</v>
      </c>
      <c r="AP26" s="61">
        <f t="shared" si="18"/>
        <v>0</v>
      </c>
      <c r="AQ26" s="62">
        <f t="shared" si="19"/>
        <v>0</v>
      </c>
      <c r="AR26" s="63">
        <f t="shared" si="20"/>
        <v>4</v>
      </c>
      <c r="AS26" s="52"/>
      <c r="AT26" s="53"/>
      <c r="AU26" s="53"/>
      <c r="AV26" s="53"/>
      <c r="AW26" s="53"/>
      <c r="AX26" s="66">
        <f t="shared" si="21"/>
        <v>0</v>
      </c>
      <c r="AY26" s="67">
        <f t="shared" si="22"/>
        <v>0</v>
      </c>
      <c r="AZ26" s="67">
        <f t="shared" si="23"/>
        <v>0</v>
      </c>
      <c r="BA26" s="67">
        <f t="shared" si="24"/>
        <v>0</v>
      </c>
      <c r="BB26" s="67">
        <f t="shared" si="25"/>
        <v>0</v>
      </c>
      <c r="BC26" s="68">
        <f t="shared" si="26"/>
        <v>0</v>
      </c>
      <c r="BD26" s="69">
        <f t="shared" si="27"/>
        <v>0</v>
      </c>
      <c r="BE26" s="70">
        <f t="shared" si="28"/>
        <v>4</v>
      </c>
      <c r="BF26" s="71">
        <v>0</v>
      </c>
      <c r="BG26" s="72">
        <f t="shared" si="29"/>
        <v>0</v>
      </c>
      <c r="BH26" s="73">
        <f t="shared" si="30"/>
        <v>0</v>
      </c>
      <c r="BI26" s="74">
        <f t="shared" si="31"/>
        <v>0</v>
      </c>
      <c r="BJ26" s="73">
        <f t="shared" si="32"/>
        <v>0</v>
      </c>
      <c r="BK26" s="73">
        <f t="shared" si="33"/>
        <v>0</v>
      </c>
      <c r="BL26" s="73">
        <f t="shared" si="34"/>
        <v>0</v>
      </c>
      <c r="BM26" s="75">
        <f>IF(ISNA(VLOOKUP(H26,UitslagFig!$C$5:$K$251,1,FALSE)),"",VLOOKUP(H26,UitslagFig!$C$5:$K$251,9,FALSE))</f>
        <v>0</v>
      </c>
      <c r="BN26" s="75">
        <f>IF(ISNA(VLOOKUP(K26,UitslagFig!$C$5:$K$251,1,FALSE)),"",VLOOKUP(K26,UitslagFig!$C$5:$K$251,9,FALSE))</f>
        <v>0</v>
      </c>
      <c r="BO26" s="76">
        <f t="shared" si="35"/>
      </c>
      <c r="BP26" s="76">
        <f t="shared" si="36"/>
      </c>
      <c r="BQ26" s="76">
        <f t="shared" si="37"/>
        <v>0</v>
      </c>
      <c r="BR26" s="76">
        <f t="shared" si="38"/>
        <v>0</v>
      </c>
      <c r="BS26" s="77">
        <f t="shared" si="39"/>
      </c>
      <c r="BT26" s="77">
        <f t="shared" si="40"/>
        <v>0</v>
      </c>
      <c r="BU26" s="78">
        <f t="shared" si="41"/>
        <v>0</v>
      </c>
      <c r="BV26" s="79">
        <f t="shared" si="42"/>
      </c>
    </row>
    <row r="27" spans="1:74" ht="12.75">
      <c r="A27" s="8">
        <v>23</v>
      </c>
      <c r="B27" s="24">
        <f t="shared" si="0"/>
        <v>4</v>
      </c>
      <c r="C27" s="44">
        <f t="shared" si="1"/>
        <v>0</v>
      </c>
      <c r="D27" s="45">
        <f>IF(ISNA(VLOOKUP($H27,UitslagFig!$C$5:$K$251,1,FALSE)),"",VLOOKUP($H27,UitslagFig!$C$5:$K$251,3,FALSE))</f>
        <v>0</v>
      </c>
      <c r="E27" s="48"/>
      <c r="F27" s="48"/>
      <c r="G27" s="45">
        <f>IF(ISNA(VLOOKUP($H27,UitslagFig!$C$5:$K$251,1,FALSE)),"",VLOOKUP($H27,UitslagFig!$C$5:$K$251,2,FALSE))</f>
        <v>0</v>
      </c>
      <c r="H27" s="45"/>
      <c r="I27" s="47"/>
      <c r="J27" s="45">
        <f>IF(ISNA(VLOOKUP($K27,UitslagFig!$C$5:$K$251,1,FALSE)),"",VLOOKUP($K27,UitslagFig!$C$5:$K$251,2,FALSE))</f>
        <v>0</v>
      </c>
      <c r="K27" s="48"/>
      <c r="L27" s="47"/>
      <c r="M27" s="48">
        <f>IF(ISNA(VLOOKUP($H27,UitslagFig!$C$5:$K$251,1,FALSE)),"",VLOOKUP($H27,UitslagFig!$C$5:$K$251,5,FALSE))</f>
        <v>0</v>
      </c>
      <c r="N27" s="49"/>
      <c r="O27" s="50">
        <v>0</v>
      </c>
      <c r="P27" s="24">
        <f t="shared" si="2"/>
      </c>
      <c r="Q27" s="51">
        <f t="shared" si="3"/>
        <v>0</v>
      </c>
      <c r="R27" s="24">
        <f t="shared" si="4"/>
      </c>
      <c r="S27" s="52"/>
      <c r="T27" s="53"/>
      <c r="U27" s="53"/>
      <c r="V27" s="53"/>
      <c r="W27" s="53"/>
      <c r="X27" s="54">
        <f t="shared" si="5"/>
        <v>0</v>
      </c>
      <c r="Y27" s="55">
        <f t="shared" si="6"/>
        <v>0</v>
      </c>
      <c r="Z27" s="55">
        <f t="shared" si="7"/>
        <v>0</v>
      </c>
      <c r="AA27" s="55">
        <f t="shared" si="8"/>
        <v>0</v>
      </c>
      <c r="AB27" s="55">
        <f t="shared" si="9"/>
        <v>0</v>
      </c>
      <c r="AC27" s="56">
        <f t="shared" si="10"/>
        <v>0</v>
      </c>
      <c r="AD27" s="57">
        <f t="shared" si="11"/>
        <v>0</v>
      </c>
      <c r="AE27" s="58">
        <f t="shared" si="12"/>
        <v>4</v>
      </c>
      <c r="AF27" s="52"/>
      <c r="AG27" s="53"/>
      <c r="AH27" s="53"/>
      <c r="AI27" s="53"/>
      <c r="AJ27" s="53"/>
      <c r="AK27" s="59">
        <f t="shared" si="13"/>
        <v>0</v>
      </c>
      <c r="AL27" s="60">
        <f t="shared" si="14"/>
        <v>0</v>
      </c>
      <c r="AM27" s="60">
        <f t="shared" si="15"/>
        <v>0</v>
      </c>
      <c r="AN27" s="60">
        <f t="shared" si="16"/>
        <v>0</v>
      </c>
      <c r="AO27" s="60">
        <f t="shared" si="17"/>
        <v>0</v>
      </c>
      <c r="AP27" s="61">
        <f t="shared" si="18"/>
        <v>0</v>
      </c>
      <c r="AQ27" s="62">
        <f t="shared" si="19"/>
        <v>0</v>
      </c>
      <c r="AR27" s="63">
        <f t="shared" si="20"/>
        <v>4</v>
      </c>
      <c r="AS27" s="52"/>
      <c r="AT27" s="53"/>
      <c r="AU27" s="53"/>
      <c r="AV27" s="53"/>
      <c r="AW27" s="53"/>
      <c r="AX27" s="66">
        <f t="shared" si="21"/>
        <v>0</v>
      </c>
      <c r="AY27" s="67">
        <f t="shared" si="22"/>
        <v>0</v>
      </c>
      <c r="AZ27" s="67">
        <f t="shared" si="23"/>
        <v>0</v>
      </c>
      <c r="BA27" s="67">
        <f t="shared" si="24"/>
        <v>0</v>
      </c>
      <c r="BB27" s="67">
        <f t="shared" si="25"/>
        <v>0</v>
      </c>
      <c r="BC27" s="68">
        <f t="shared" si="26"/>
        <v>0</v>
      </c>
      <c r="BD27" s="69">
        <f t="shared" si="27"/>
        <v>0</v>
      </c>
      <c r="BE27" s="70">
        <f t="shared" si="28"/>
        <v>4</v>
      </c>
      <c r="BF27" s="71">
        <v>0</v>
      </c>
      <c r="BG27" s="72">
        <f t="shared" si="29"/>
        <v>0</v>
      </c>
      <c r="BH27" s="73">
        <f t="shared" si="30"/>
        <v>0</v>
      </c>
      <c r="BI27" s="74">
        <f t="shared" si="31"/>
        <v>0</v>
      </c>
      <c r="BJ27" s="73">
        <f t="shared" si="32"/>
        <v>0</v>
      </c>
      <c r="BK27" s="73">
        <f t="shared" si="33"/>
        <v>0</v>
      </c>
      <c r="BL27" s="73">
        <f t="shared" si="34"/>
        <v>0</v>
      </c>
      <c r="BM27" s="75">
        <f>IF(ISNA(VLOOKUP(H27,UitslagFig!$C$5:$K$251,1,FALSE)),"",VLOOKUP(H27,UitslagFig!$C$5:$K$251,9,FALSE))</f>
        <v>0</v>
      </c>
      <c r="BN27" s="75">
        <f>IF(ISNA(VLOOKUP(K27,UitslagFig!$C$5:$K$251,1,FALSE)),"",VLOOKUP(K27,UitslagFig!$C$5:$K$251,9,FALSE))</f>
        <v>0</v>
      </c>
      <c r="BO27" s="76">
        <f t="shared" si="35"/>
      </c>
      <c r="BP27" s="76">
        <f t="shared" si="36"/>
      </c>
      <c r="BQ27" s="76">
        <f t="shared" si="37"/>
        <v>0</v>
      </c>
      <c r="BR27" s="76">
        <f t="shared" si="38"/>
        <v>0</v>
      </c>
      <c r="BS27" s="77">
        <f t="shared" si="39"/>
      </c>
      <c r="BT27" s="77">
        <f t="shared" si="40"/>
        <v>0</v>
      </c>
      <c r="BU27" s="78">
        <f t="shared" si="41"/>
        <v>0</v>
      </c>
      <c r="BV27" s="79">
        <f t="shared" si="42"/>
      </c>
    </row>
    <row r="28" spans="1:74" ht="12.75">
      <c r="A28" s="8">
        <v>24</v>
      </c>
      <c r="B28" s="24">
        <f t="shared" si="0"/>
        <v>4</v>
      </c>
      <c r="C28" s="44">
        <f t="shared" si="1"/>
        <v>0</v>
      </c>
      <c r="D28" s="45">
        <f>IF(ISNA(VLOOKUP($H28,UitslagFig!$C$5:$K$251,1,FALSE)),"",VLOOKUP($H28,UitslagFig!$C$5:$K$251,3,FALSE))</f>
        <v>0</v>
      </c>
      <c r="E28" s="48"/>
      <c r="F28" s="48"/>
      <c r="G28" s="45">
        <f>IF(ISNA(VLOOKUP($H28,UitslagFig!$C$5:$K$251,1,FALSE)),"",VLOOKUP($H28,UitslagFig!$C$5:$K$251,2,FALSE))</f>
        <v>0</v>
      </c>
      <c r="H28" s="45"/>
      <c r="I28" s="47"/>
      <c r="J28" s="45">
        <f>IF(ISNA(VLOOKUP($K28,UitslagFig!$C$5:$K$251,1,FALSE)),"",VLOOKUP($K28,UitslagFig!$C$5:$K$251,2,FALSE))</f>
        <v>0</v>
      </c>
      <c r="K28" s="48"/>
      <c r="L28" s="47"/>
      <c r="M28" s="48">
        <f>IF(ISNA(VLOOKUP($H28,UitslagFig!$C$5:$K$251,1,FALSE)),"",VLOOKUP($H28,UitslagFig!$C$5:$K$251,5,FALSE))</f>
        <v>0</v>
      </c>
      <c r="N28" s="49"/>
      <c r="O28" s="50">
        <v>0</v>
      </c>
      <c r="P28" s="24">
        <f t="shared" si="2"/>
      </c>
      <c r="Q28" s="51">
        <f t="shared" si="3"/>
        <v>0</v>
      </c>
      <c r="R28" s="24">
        <f t="shared" si="4"/>
      </c>
      <c r="S28" s="52"/>
      <c r="T28" s="53"/>
      <c r="U28" s="53"/>
      <c r="V28" s="53"/>
      <c r="W28" s="53"/>
      <c r="X28" s="54">
        <f t="shared" si="5"/>
        <v>0</v>
      </c>
      <c r="Y28" s="55">
        <f t="shared" si="6"/>
        <v>0</v>
      </c>
      <c r="Z28" s="55">
        <f t="shared" si="7"/>
        <v>0</v>
      </c>
      <c r="AA28" s="55">
        <f t="shared" si="8"/>
        <v>0</v>
      </c>
      <c r="AB28" s="55">
        <f t="shared" si="9"/>
        <v>0</v>
      </c>
      <c r="AC28" s="56">
        <f t="shared" si="10"/>
        <v>0</v>
      </c>
      <c r="AD28" s="57">
        <f t="shared" si="11"/>
        <v>0</v>
      </c>
      <c r="AE28" s="58">
        <f t="shared" si="12"/>
        <v>4</v>
      </c>
      <c r="AF28" s="52"/>
      <c r="AG28" s="53"/>
      <c r="AH28" s="53"/>
      <c r="AI28" s="53"/>
      <c r="AJ28" s="53"/>
      <c r="AK28" s="59">
        <f t="shared" si="13"/>
        <v>0</v>
      </c>
      <c r="AL28" s="60">
        <f t="shared" si="14"/>
        <v>0</v>
      </c>
      <c r="AM28" s="60">
        <f t="shared" si="15"/>
        <v>0</v>
      </c>
      <c r="AN28" s="60">
        <f t="shared" si="16"/>
        <v>0</v>
      </c>
      <c r="AO28" s="60">
        <f t="shared" si="17"/>
        <v>0</v>
      </c>
      <c r="AP28" s="61">
        <f t="shared" si="18"/>
        <v>0</v>
      </c>
      <c r="AQ28" s="62">
        <f t="shared" si="19"/>
        <v>0</v>
      </c>
      <c r="AR28" s="63">
        <f t="shared" si="20"/>
        <v>4</v>
      </c>
      <c r="AS28" s="52"/>
      <c r="AT28" s="53"/>
      <c r="AU28" s="53"/>
      <c r="AV28" s="53"/>
      <c r="AW28" s="53"/>
      <c r="AX28" s="66">
        <f t="shared" si="21"/>
        <v>0</v>
      </c>
      <c r="AY28" s="67">
        <f t="shared" si="22"/>
        <v>0</v>
      </c>
      <c r="AZ28" s="67">
        <f t="shared" si="23"/>
        <v>0</v>
      </c>
      <c r="BA28" s="67">
        <f t="shared" si="24"/>
        <v>0</v>
      </c>
      <c r="BB28" s="67">
        <f t="shared" si="25"/>
        <v>0</v>
      </c>
      <c r="BC28" s="68">
        <f t="shared" si="26"/>
        <v>0</v>
      </c>
      <c r="BD28" s="69">
        <f t="shared" si="27"/>
        <v>0</v>
      </c>
      <c r="BE28" s="70">
        <f t="shared" si="28"/>
        <v>4</v>
      </c>
      <c r="BF28" s="71">
        <v>0</v>
      </c>
      <c r="BG28" s="72">
        <f t="shared" si="29"/>
        <v>0</v>
      </c>
      <c r="BH28" s="73">
        <f t="shared" si="30"/>
        <v>0</v>
      </c>
      <c r="BI28" s="74">
        <f t="shared" si="31"/>
        <v>0</v>
      </c>
      <c r="BJ28" s="73">
        <f t="shared" si="32"/>
        <v>0</v>
      </c>
      <c r="BK28" s="73">
        <f t="shared" si="33"/>
        <v>0</v>
      </c>
      <c r="BL28" s="73">
        <f t="shared" si="34"/>
        <v>0</v>
      </c>
      <c r="BM28" s="75">
        <f>IF(ISNA(VLOOKUP(H28,UitslagFig!$C$5:$K$251,1,FALSE)),"",VLOOKUP(H28,UitslagFig!$C$5:$K$251,9,FALSE))</f>
        <v>0</v>
      </c>
      <c r="BN28" s="75">
        <f>IF(ISNA(VLOOKUP(K28,UitslagFig!$C$5:$K$251,1,FALSE)),"",VLOOKUP(K28,UitslagFig!$C$5:$K$251,9,FALSE))</f>
        <v>0</v>
      </c>
      <c r="BO28" s="76">
        <f t="shared" si="35"/>
      </c>
      <c r="BP28" s="76">
        <f t="shared" si="36"/>
      </c>
      <c r="BQ28" s="76">
        <f t="shared" si="37"/>
        <v>0</v>
      </c>
      <c r="BR28" s="76">
        <f t="shared" si="38"/>
        <v>0</v>
      </c>
      <c r="BS28" s="77">
        <f t="shared" si="39"/>
      </c>
      <c r="BT28" s="77">
        <f t="shared" si="40"/>
        <v>0</v>
      </c>
      <c r="BU28" s="78">
        <f t="shared" si="41"/>
        <v>0</v>
      </c>
      <c r="BV28" s="79">
        <f t="shared" si="42"/>
      </c>
    </row>
    <row r="29" spans="1:74" ht="12.75">
      <c r="A29" s="8">
        <v>25</v>
      </c>
      <c r="B29" s="24">
        <f t="shared" si="0"/>
        <v>4</v>
      </c>
      <c r="C29" s="44">
        <f t="shared" si="1"/>
        <v>0</v>
      </c>
      <c r="D29" s="45">
        <f>IF(ISNA(VLOOKUP($H29,UitslagFig!$C$5:$K$251,1,FALSE)),"",VLOOKUP($H29,UitslagFig!$C$5:$K$251,3,FALSE))</f>
        <v>0</v>
      </c>
      <c r="E29" s="48"/>
      <c r="F29" s="48"/>
      <c r="G29" s="45">
        <f>IF(ISNA(VLOOKUP($H29,UitslagFig!$C$5:$K$251,1,FALSE)),"",VLOOKUP($H29,UitslagFig!$C$5:$K$251,2,FALSE))</f>
        <v>0</v>
      </c>
      <c r="H29" s="45"/>
      <c r="I29" s="47"/>
      <c r="J29" s="45">
        <f>IF(ISNA(VLOOKUP($K29,UitslagFig!$C$5:$K$251,1,FALSE)),"",VLOOKUP($K29,UitslagFig!$C$5:$K$251,2,FALSE))</f>
        <v>0</v>
      </c>
      <c r="K29" s="48"/>
      <c r="L29" s="47"/>
      <c r="M29" s="48">
        <f>IF(ISNA(VLOOKUP($H29,UitslagFig!$C$5:$K$251,1,FALSE)),"",VLOOKUP($H29,UitslagFig!$C$5:$K$251,5,FALSE))</f>
        <v>0</v>
      </c>
      <c r="N29" s="49"/>
      <c r="O29" s="50">
        <v>0</v>
      </c>
      <c r="P29" s="24">
        <f t="shared" si="2"/>
      </c>
      <c r="Q29" s="51">
        <f t="shared" si="3"/>
        <v>0</v>
      </c>
      <c r="R29" s="24">
        <f t="shared" si="4"/>
      </c>
      <c r="S29" s="52"/>
      <c r="T29" s="53"/>
      <c r="U29" s="53"/>
      <c r="V29" s="53"/>
      <c r="W29" s="53"/>
      <c r="X29" s="54">
        <f t="shared" si="5"/>
        <v>0</v>
      </c>
      <c r="Y29" s="55">
        <f t="shared" si="6"/>
        <v>0</v>
      </c>
      <c r="Z29" s="55">
        <f t="shared" si="7"/>
        <v>0</v>
      </c>
      <c r="AA29" s="55">
        <f t="shared" si="8"/>
        <v>0</v>
      </c>
      <c r="AB29" s="55">
        <f t="shared" si="9"/>
        <v>0</v>
      </c>
      <c r="AC29" s="56">
        <f t="shared" si="10"/>
        <v>0</v>
      </c>
      <c r="AD29" s="57">
        <f t="shared" si="11"/>
        <v>0</v>
      </c>
      <c r="AE29" s="58">
        <f t="shared" si="12"/>
        <v>4</v>
      </c>
      <c r="AF29" s="52"/>
      <c r="AG29" s="53"/>
      <c r="AH29" s="53"/>
      <c r="AI29" s="53"/>
      <c r="AJ29" s="53"/>
      <c r="AK29" s="59">
        <f t="shared" si="13"/>
        <v>0</v>
      </c>
      <c r="AL29" s="60">
        <f t="shared" si="14"/>
        <v>0</v>
      </c>
      <c r="AM29" s="60">
        <f t="shared" si="15"/>
        <v>0</v>
      </c>
      <c r="AN29" s="60">
        <f t="shared" si="16"/>
        <v>0</v>
      </c>
      <c r="AO29" s="60">
        <f t="shared" si="17"/>
        <v>0</v>
      </c>
      <c r="AP29" s="61">
        <f t="shared" si="18"/>
        <v>0</v>
      </c>
      <c r="AQ29" s="62">
        <f t="shared" si="19"/>
        <v>0</v>
      </c>
      <c r="AR29" s="63">
        <f t="shared" si="20"/>
        <v>4</v>
      </c>
      <c r="AS29" s="52"/>
      <c r="AT29" s="53"/>
      <c r="AU29" s="53"/>
      <c r="AV29" s="53"/>
      <c r="AW29" s="53"/>
      <c r="AX29" s="66">
        <f t="shared" si="21"/>
        <v>0</v>
      </c>
      <c r="AY29" s="67">
        <f t="shared" si="22"/>
        <v>0</v>
      </c>
      <c r="AZ29" s="67">
        <f t="shared" si="23"/>
        <v>0</v>
      </c>
      <c r="BA29" s="67">
        <f t="shared" si="24"/>
        <v>0</v>
      </c>
      <c r="BB29" s="67">
        <f t="shared" si="25"/>
        <v>0</v>
      </c>
      <c r="BC29" s="68">
        <f t="shared" si="26"/>
        <v>0</v>
      </c>
      <c r="BD29" s="69">
        <f t="shared" si="27"/>
        <v>0</v>
      </c>
      <c r="BE29" s="70">
        <f t="shared" si="28"/>
        <v>4</v>
      </c>
      <c r="BF29" s="71">
        <v>0</v>
      </c>
      <c r="BG29" s="72">
        <f t="shared" si="29"/>
        <v>0</v>
      </c>
      <c r="BH29" s="73">
        <f t="shared" si="30"/>
        <v>0</v>
      </c>
      <c r="BI29" s="74">
        <f t="shared" si="31"/>
        <v>0</v>
      </c>
      <c r="BJ29" s="73">
        <f t="shared" si="32"/>
        <v>0</v>
      </c>
      <c r="BK29" s="73">
        <f t="shared" si="33"/>
        <v>0</v>
      </c>
      <c r="BL29" s="73">
        <f t="shared" si="34"/>
        <v>0</v>
      </c>
      <c r="BM29" s="75">
        <f>IF(ISNA(VLOOKUP(H29,UitslagFig!$C$5:$K$251,1,FALSE)),"",VLOOKUP(H29,UitslagFig!$C$5:$K$251,9,FALSE))</f>
        <v>0</v>
      </c>
      <c r="BN29" s="75">
        <f>IF(ISNA(VLOOKUP(K29,UitslagFig!$C$5:$K$251,1,FALSE)),"",VLOOKUP(K29,UitslagFig!$C$5:$K$251,9,FALSE))</f>
        <v>0</v>
      </c>
      <c r="BO29" s="76">
        <f t="shared" si="35"/>
      </c>
      <c r="BP29" s="76">
        <f t="shared" si="36"/>
      </c>
      <c r="BQ29" s="76">
        <f t="shared" si="37"/>
        <v>0</v>
      </c>
      <c r="BR29" s="76">
        <f t="shared" si="38"/>
        <v>0</v>
      </c>
      <c r="BS29" s="77">
        <f t="shared" si="39"/>
      </c>
      <c r="BT29" s="77">
        <f t="shared" si="40"/>
        <v>0</v>
      </c>
      <c r="BU29" s="78">
        <f t="shared" si="41"/>
        <v>0</v>
      </c>
      <c r="BV29" s="79">
        <f t="shared" si="42"/>
      </c>
    </row>
    <row r="30" spans="1:74" ht="12.75">
      <c r="A30" s="8">
        <v>26</v>
      </c>
      <c r="B30" s="24">
        <f t="shared" si="0"/>
        <v>4</v>
      </c>
      <c r="C30" s="44">
        <f t="shared" si="1"/>
        <v>0</v>
      </c>
      <c r="D30" s="45">
        <f>IF(ISNA(VLOOKUP($H30,UitslagFig!$C$5:$K$251,1,FALSE)),"",VLOOKUP($H30,UitslagFig!$C$5:$K$251,3,FALSE))</f>
        <v>0</v>
      </c>
      <c r="E30" s="45"/>
      <c r="F30" s="45"/>
      <c r="G30" s="45">
        <f>IF(ISNA(VLOOKUP($H30,UitslagFig!$C$5:$K$251,1,FALSE)),"",VLOOKUP($H30,UitslagFig!$C$5:$K$251,2,FALSE))</f>
        <v>0</v>
      </c>
      <c r="H30" s="45"/>
      <c r="I30" s="47"/>
      <c r="J30" s="45">
        <f>IF(ISNA(VLOOKUP($K30,UitslagFig!$C$5:$K$251,1,FALSE)),"",VLOOKUP($K30,UitslagFig!$C$5:$K$251,2,FALSE))</f>
        <v>0</v>
      </c>
      <c r="K30" s="45"/>
      <c r="L30" s="47"/>
      <c r="M30" s="48">
        <f>IF(ISNA(VLOOKUP($H30,UitslagFig!$C$5:$K$251,1,FALSE)),"",VLOOKUP($H30,UitslagFig!$C$5:$K$251,5,FALSE))</f>
        <v>0</v>
      </c>
      <c r="N30" s="49"/>
      <c r="O30" s="50">
        <v>0</v>
      </c>
      <c r="P30" s="24">
        <f t="shared" si="2"/>
      </c>
      <c r="Q30" s="51">
        <f t="shared" si="3"/>
        <v>0</v>
      </c>
      <c r="R30" s="24">
        <f t="shared" si="4"/>
      </c>
      <c r="S30" s="52"/>
      <c r="T30" s="53"/>
      <c r="U30" s="53"/>
      <c r="V30" s="53"/>
      <c r="W30" s="53"/>
      <c r="X30" s="54">
        <f t="shared" si="5"/>
        <v>0</v>
      </c>
      <c r="Y30" s="55">
        <f t="shared" si="6"/>
        <v>0</v>
      </c>
      <c r="Z30" s="55">
        <f t="shared" si="7"/>
        <v>0</v>
      </c>
      <c r="AA30" s="55">
        <f t="shared" si="8"/>
        <v>0</v>
      </c>
      <c r="AB30" s="55">
        <f t="shared" si="9"/>
        <v>0</v>
      </c>
      <c r="AC30" s="56">
        <f t="shared" si="10"/>
        <v>0</v>
      </c>
      <c r="AD30" s="57">
        <f t="shared" si="11"/>
        <v>0</v>
      </c>
      <c r="AE30" s="58">
        <f t="shared" si="12"/>
        <v>4</v>
      </c>
      <c r="AF30" s="52"/>
      <c r="AG30" s="53"/>
      <c r="AH30" s="53"/>
      <c r="AI30" s="53"/>
      <c r="AJ30" s="53"/>
      <c r="AK30" s="59">
        <f t="shared" si="13"/>
        <v>0</v>
      </c>
      <c r="AL30" s="60">
        <f t="shared" si="14"/>
        <v>0</v>
      </c>
      <c r="AM30" s="60">
        <f t="shared" si="15"/>
        <v>0</v>
      </c>
      <c r="AN30" s="60">
        <f t="shared" si="16"/>
        <v>0</v>
      </c>
      <c r="AO30" s="60">
        <f t="shared" si="17"/>
        <v>0</v>
      </c>
      <c r="AP30" s="61">
        <f t="shared" si="18"/>
        <v>0</v>
      </c>
      <c r="AQ30" s="62">
        <f t="shared" si="19"/>
        <v>0</v>
      </c>
      <c r="AR30" s="63">
        <f t="shared" si="20"/>
        <v>4</v>
      </c>
      <c r="AS30" s="52"/>
      <c r="AT30" s="53"/>
      <c r="AU30" s="53"/>
      <c r="AV30" s="53"/>
      <c r="AW30" s="53"/>
      <c r="AX30" s="66">
        <f t="shared" si="21"/>
        <v>0</v>
      </c>
      <c r="AY30" s="67">
        <f t="shared" si="22"/>
        <v>0</v>
      </c>
      <c r="AZ30" s="67">
        <f t="shared" si="23"/>
        <v>0</v>
      </c>
      <c r="BA30" s="67">
        <f t="shared" si="24"/>
        <v>0</v>
      </c>
      <c r="BB30" s="67">
        <f t="shared" si="25"/>
        <v>0</v>
      </c>
      <c r="BC30" s="68">
        <f t="shared" si="26"/>
        <v>0</v>
      </c>
      <c r="BD30" s="69">
        <f t="shared" si="27"/>
        <v>0</v>
      </c>
      <c r="BE30" s="70">
        <f t="shared" si="28"/>
        <v>4</v>
      </c>
      <c r="BF30" s="71">
        <v>0</v>
      </c>
      <c r="BG30" s="72">
        <f t="shared" si="29"/>
        <v>0</v>
      </c>
      <c r="BH30" s="73">
        <f t="shared" si="30"/>
        <v>0</v>
      </c>
      <c r="BI30" s="74">
        <f t="shared" si="31"/>
        <v>0</v>
      </c>
      <c r="BJ30" s="73">
        <f t="shared" si="32"/>
        <v>0</v>
      </c>
      <c r="BK30" s="73">
        <f t="shared" si="33"/>
        <v>0</v>
      </c>
      <c r="BL30" s="73">
        <f t="shared" si="34"/>
        <v>0</v>
      </c>
      <c r="BM30" s="75">
        <f>IF(ISNA(VLOOKUP(H30,UitslagFig!$C$5:$K$251,1,FALSE)),"",VLOOKUP(H30,UitslagFig!$C$5:$K$251,9,FALSE))</f>
        <v>0</v>
      </c>
      <c r="BN30" s="75">
        <f>IF(ISNA(VLOOKUP(K30,UitslagFig!$C$5:$K$251,1,FALSE)),"",VLOOKUP(K30,UitslagFig!$C$5:$K$251,9,FALSE))</f>
        <v>0</v>
      </c>
      <c r="BO30" s="76">
        <f t="shared" si="35"/>
      </c>
      <c r="BP30" s="76">
        <f t="shared" si="36"/>
      </c>
      <c r="BQ30" s="76">
        <f t="shared" si="37"/>
        <v>0</v>
      </c>
      <c r="BR30" s="76">
        <f t="shared" si="38"/>
        <v>0</v>
      </c>
      <c r="BS30" s="77">
        <f t="shared" si="39"/>
      </c>
      <c r="BT30" s="77">
        <f t="shared" si="40"/>
        <v>0</v>
      </c>
      <c r="BU30" s="78">
        <f t="shared" si="41"/>
        <v>0</v>
      </c>
      <c r="BV30" s="79">
        <f t="shared" si="42"/>
      </c>
    </row>
    <row r="31" spans="1:74" ht="12.75">
      <c r="A31" s="8">
        <v>27</v>
      </c>
      <c r="B31" s="24">
        <f t="shared" si="0"/>
        <v>4</v>
      </c>
      <c r="C31" s="44">
        <f t="shared" si="1"/>
        <v>0</v>
      </c>
      <c r="D31" s="45">
        <f>IF(ISNA(VLOOKUP($H31,UitslagFig!$C$5:$K$251,1,FALSE)),"",VLOOKUP($H31,UitslagFig!$C$5:$K$251,3,FALSE))</f>
        <v>0</v>
      </c>
      <c r="E31" s="45"/>
      <c r="F31" s="45"/>
      <c r="G31" s="45">
        <f>IF(ISNA(VLOOKUP($H31,UitslagFig!$C$5:$K$251,1,FALSE)),"",VLOOKUP($H31,UitslagFig!$C$5:$K$251,2,FALSE))</f>
        <v>0</v>
      </c>
      <c r="H31" s="45"/>
      <c r="I31" s="47"/>
      <c r="J31" s="45">
        <f>IF(ISNA(VLOOKUP($K31,UitslagFig!$C$5:$K$251,1,FALSE)),"",VLOOKUP($K31,UitslagFig!$C$5:$K$251,2,FALSE))</f>
        <v>0</v>
      </c>
      <c r="K31" s="45"/>
      <c r="L31" s="47"/>
      <c r="M31" s="48">
        <f>IF(ISNA(VLOOKUP($H31,UitslagFig!$C$5:$K$251,1,FALSE)),"",VLOOKUP($H31,UitslagFig!$C$5:$K$251,5,FALSE))</f>
        <v>0</v>
      </c>
      <c r="N31" s="49"/>
      <c r="O31" s="50">
        <v>0</v>
      </c>
      <c r="P31" s="24">
        <f t="shared" si="2"/>
      </c>
      <c r="Q31" s="51">
        <f t="shared" si="3"/>
        <v>0</v>
      </c>
      <c r="R31" s="24">
        <f t="shared" si="4"/>
      </c>
      <c r="S31" s="52"/>
      <c r="T31" s="53"/>
      <c r="U31" s="53"/>
      <c r="V31" s="53"/>
      <c r="W31" s="53"/>
      <c r="X31" s="54">
        <f t="shared" si="5"/>
        <v>0</v>
      </c>
      <c r="Y31" s="55">
        <f t="shared" si="6"/>
        <v>0</v>
      </c>
      <c r="Z31" s="55">
        <f t="shared" si="7"/>
        <v>0</v>
      </c>
      <c r="AA31" s="55">
        <f t="shared" si="8"/>
        <v>0</v>
      </c>
      <c r="AB31" s="55">
        <f t="shared" si="9"/>
        <v>0</v>
      </c>
      <c r="AC31" s="56">
        <f t="shared" si="10"/>
        <v>0</v>
      </c>
      <c r="AD31" s="57">
        <f t="shared" si="11"/>
        <v>0</v>
      </c>
      <c r="AE31" s="58">
        <f t="shared" si="12"/>
        <v>4</v>
      </c>
      <c r="AF31" s="52"/>
      <c r="AG31" s="53"/>
      <c r="AH31" s="53"/>
      <c r="AI31" s="53"/>
      <c r="AJ31" s="53"/>
      <c r="AK31" s="59">
        <f t="shared" si="13"/>
        <v>0</v>
      </c>
      <c r="AL31" s="60">
        <f t="shared" si="14"/>
        <v>0</v>
      </c>
      <c r="AM31" s="60">
        <f t="shared" si="15"/>
        <v>0</v>
      </c>
      <c r="AN31" s="60">
        <f t="shared" si="16"/>
        <v>0</v>
      </c>
      <c r="AO31" s="60">
        <f t="shared" si="17"/>
        <v>0</v>
      </c>
      <c r="AP31" s="61">
        <f t="shared" si="18"/>
        <v>0</v>
      </c>
      <c r="AQ31" s="62">
        <f t="shared" si="19"/>
        <v>0</v>
      </c>
      <c r="AR31" s="63">
        <f t="shared" si="20"/>
        <v>4</v>
      </c>
      <c r="AS31" s="52"/>
      <c r="AT31" s="53"/>
      <c r="AU31" s="53"/>
      <c r="AV31" s="53"/>
      <c r="AW31" s="53"/>
      <c r="AX31" s="66">
        <f t="shared" si="21"/>
        <v>0</v>
      </c>
      <c r="AY31" s="67">
        <f t="shared" si="22"/>
        <v>0</v>
      </c>
      <c r="AZ31" s="67">
        <f t="shared" si="23"/>
        <v>0</v>
      </c>
      <c r="BA31" s="67">
        <f t="shared" si="24"/>
        <v>0</v>
      </c>
      <c r="BB31" s="67">
        <f t="shared" si="25"/>
        <v>0</v>
      </c>
      <c r="BC31" s="68">
        <f t="shared" si="26"/>
        <v>0</v>
      </c>
      <c r="BD31" s="69">
        <f t="shared" si="27"/>
        <v>0</v>
      </c>
      <c r="BE31" s="70">
        <f t="shared" si="28"/>
        <v>4</v>
      </c>
      <c r="BF31" s="71">
        <v>0</v>
      </c>
      <c r="BG31" s="72">
        <f t="shared" si="29"/>
        <v>0</v>
      </c>
      <c r="BH31" s="73">
        <f t="shared" si="30"/>
        <v>0</v>
      </c>
      <c r="BI31" s="74">
        <f t="shared" si="31"/>
        <v>0</v>
      </c>
      <c r="BJ31" s="73">
        <f t="shared" si="32"/>
        <v>0</v>
      </c>
      <c r="BK31" s="73">
        <f t="shared" si="33"/>
        <v>0</v>
      </c>
      <c r="BL31" s="73">
        <f t="shared" si="34"/>
        <v>0</v>
      </c>
      <c r="BM31" s="75">
        <f>IF(ISNA(VLOOKUP(H31,UitslagFig!$C$5:$K$251,1,FALSE)),"",VLOOKUP(H31,UitslagFig!$C$5:$K$251,9,FALSE))</f>
        <v>0</v>
      </c>
      <c r="BN31" s="75">
        <f>IF(ISNA(VLOOKUP(K31,UitslagFig!$C$5:$K$251,1,FALSE)),"",VLOOKUP(K31,UitslagFig!$C$5:$K$251,9,FALSE))</f>
        <v>0</v>
      </c>
      <c r="BO31" s="76">
        <f t="shared" si="35"/>
      </c>
      <c r="BP31" s="76">
        <f t="shared" si="36"/>
      </c>
      <c r="BQ31" s="76">
        <f t="shared" si="37"/>
        <v>0</v>
      </c>
      <c r="BR31" s="76">
        <f t="shared" si="38"/>
        <v>0</v>
      </c>
      <c r="BS31" s="77">
        <f t="shared" si="39"/>
      </c>
      <c r="BT31" s="77">
        <f t="shared" si="40"/>
        <v>0</v>
      </c>
      <c r="BU31" s="78">
        <f t="shared" si="41"/>
        <v>0</v>
      </c>
      <c r="BV31" s="79">
        <f t="shared" si="42"/>
      </c>
    </row>
    <row r="32" spans="1:74" ht="12.75">
      <c r="A32" s="8">
        <v>28</v>
      </c>
      <c r="B32" s="24">
        <f t="shared" si="0"/>
        <v>4</v>
      </c>
      <c r="C32" s="44">
        <f t="shared" si="1"/>
        <v>0</v>
      </c>
      <c r="D32" s="45">
        <f>IF(ISNA(VLOOKUP($H32,UitslagFig!$C$5:$K$251,1,FALSE)),"",VLOOKUP($H32,UitslagFig!$C$5:$K$251,3,FALSE))</f>
        <v>0</v>
      </c>
      <c r="E32" s="45"/>
      <c r="F32" s="45"/>
      <c r="G32" s="45">
        <f>IF(ISNA(VLOOKUP($H32,UitslagFig!$C$5:$K$251,1,FALSE)),"",VLOOKUP($H32,UitslagFig!$C$5:$K$251,2,FALSE))</f>
        <v>0</v>
      </c>
      <c r="H32" s="45"/>
      <c r="I32" s="47"/>
      <c r="J32" s="45">
        <f>IF(ISNA(VLOOKUP($K32,UitslagFig!$C$5:$K$251,1,FALSE)),"",VLOOKUP($K32,UitslagFig!$C$5:$K$251,2,FALSE))</f>
        <v>0</v>
      </c>
      <c r="K32" s="45"/>
      <c r="L32" s="47"/>
      <c r="M32" s="48">
        <f>IF(ISNA(VLOOKUP($H32,UitslagFig!$C$5:$K$251,1,FALSE)),"",VLOOKUP($H32,UitslagFig!$C$5:$K$251,5,FALSE))</f>
        <v>0</v>
      </c>
      <c r="N32" s="49"/>
      <c r="O32" s="50">
        <v>0</v>
      </c>
      <c r="P32" s="24">
        <f t="shared" si="2"/>
      </c>
      <c r="Q32" s="51">
        <f t="shared" si="3"/>
        <v>0</v>
      </c>
      <c r="R32" s="24">
        <f t="shared" si="4"/>
      </c>
      <c r="S32" s="52"/>
      <c r="T32" s="53"/>
      <c r="U32" s="53"/>
      <c r="V32" s="53"/>
      <c r="W32" s="53"/>
      <c r="X32" s="54">
        <f t="shared" si="5"/>
        <v>0</v>
      </c>
      <c r="Y32" s="55">
        <f t="shared" si="6"/>
        <v>0</v>
      </c>
      <c r="Z32" s="55">
        <f t="shared" si="7"/>
        <v>0</v>
      </c>
      <c r="AA32" s="55">
        <f t="shared" si="8"/>
        <v>0</v>
      </c>
      <c r="AB32" s="55">
        <f t="shared" si="9"/>
        <v>0</v>
      </c>
      <c r="AC32" s="56">
        <f t="shared" si="10"/>
        <v>0</v>
      </c>
      <c r="AD32" s="57">
        <f t="shared" si="11"/>
        <v>0</v>
      </c>
      <c r="AE32" s="58">
        <f t="shared" si="12"/>
        <v>4</v>
      </c>
      <c r="AF32" s="52"/>
      <c r="AG32" s="53"/>
      <c r="AH32" s="53"/>
      <c r="AI32" s="53"/>
      <c r="AJ32" s="53"/>
      <c r="AK32" s="59">
        <f t="shared" si="13"/>
        <v>0</v>
      </c>
      <c r="AL32" s="60">
        <f t="shared" si="14"/>
        <v>0</v>
      </c>
      <c r="AM32" s="60">
        <f t="shared" si="15"/>
        <v>0</v>
      </c>
      <c r="AN32" s="60">
        <f t="shared" si="16"/>
        <v>0</v>
      </c>
      <c r="AO32" s="60">
        <f t="shared" si="17"/>
        <v>0</v>
      </c>
      <c r="AP32" s="61">
        <f t="shared" si="18"/>
        <v>0</v>
      </c>
      <c r="AQ32" s="62">
        <f t="shared" si="19"/>
        <v>0</v>
      </c>
      <c r="AR32" s="63">
        <f t="shared" si="20"/>
        <v>4</v>
      </c>
      <c r="AS32" s="52"/>
      <c r="AT32" s="53"/>
      <c r="AU32" s="53"/>
      <c r="AV32" s="53"/>
      <c r="AW32" s="53"/>
      <c r="AX32" s="66">
        <f t="shared" si="21"/>
        <v>0</v>
      </c>
      <c r="AY32" s="67">
        <f t="shared" si="22"/>
        <v>0</v>
      </c>
      <c r="AZ32" s="67">
        <f t="shared" si="23"/>
        <v>0</v>
      </c>
      <c r="BA32" s="67">
        <f t="shared" si="24"/>
        <v>0</v>
      </c>
      <c r="BB32" s="67">
        <f t="shared" si="25"/>
        <v>0</v>
      </c>
      <c r="BC32" s="68">
        <f t="shared" si="26"/>
        <v>0</v>
      </c>
      <c r="BD32" s="69">
        <f t="shared" si="27"/>
        <v>0</v>
      </c>
      <c r="BE32" s="70">
        <f t="shared" si="28"/>
        <v>4</v>
      </c>
      <c r="BF32" s="71">
        <v>0</v>
      </c>
      <c r="BG32" s="72">
        <f t="shared" si="29"/>
        <v>0</v>
      </c>
      <c r="BH32" s="73">
        <f t="shared" si="30"/>
        <v>0</v>
      </c>
      <c r="BI32" s="74">
        <f t="shared" si="31"/>
        <v>0</v>
      </c>
      <c r="BJ32" s="73">
        <f t="shared" si="32"/>
        <v>0</v>
      </c>
      <c r="BK32" s="73">
        <f t="shared" si="33"/>
        <v>0</v>
      </c>
      <c r="BL32" s="73">
        <f t="shared" si="34"/>
        <v>0</v>
      </c>
      <c r="BM32" s="75">
        <f>IF(ISNA(VLOOKUP(H32,UitslagFig!$C$5:$K$251,1,FALSE)),"",VLOOKUP(H32,UitslagFig!$C$5:$K$251,9,FALSE))</f>
        <v>0</v>
      </c>
      <c r="BN32" s="75">
        <f>IF(ISNA(VLOOKUP(K32,UitslagFig!$C$5:$K$251,1,FALSE)),"",VLOOKUP(K32,UitslagFig!$C$5:$K$251,9,FALSE))</f>
        <v>0</v>
      </c>
      <c r="BO32" s="76">
        <f t="shared" si="35"/>
      </c>
      <c r="BP32" s="76">
        <f t="shared" si="36"/>
      </c>
      <c r="BQ32" s="76">
        <f t="shared" si="37"/>
        <v>0</v>
      </c>
      <c r="BR32" s="76">
        <f t="shared" si="38"/>
        <v>0</v>
      </c>
      <c r="BS32" s="77">
        <f t="shared" si="39"/>
      </c>
      <c r="BT32" s="77">
        <f t="shared" si="40"/>
        <v>0</v>
      </c>
      <c r="BU32" s="78">
        <f t="shared" si="41"/>
        <v>0</v>
      </c>
      <c r="BV32" s="79">
        <f t="shared" si="42"/>
      </c>
    </row>
    <row r="33" spans="1:74" ht="12.75">
      <c r="A33" s="8">
        <v>29</v>
      </c>
      <c r="B33" s="24">
        <f t="shared" si="0"/>
        <v>4</v>
      </c>
      <c r="C33" s="44">
        <f t="shared" si="1"/>
        <v>0</v>
      </c>
      <c r="D33" s="45">
        <f>IF(ISNA(VLOOKUP($H33,UitslagFig!$C$5:$K$251,1,FALSE)),"",VLOOKUP($H33,UitslagFig!$C$5:$K$251,3,FALSE))</f>
        <v>0</v>
      </c>
      <c r="E33" s="45"/>
      <c r="F33" s="45"/>
      <c r="G33" s="45">
        <f>IF(ISNA(VLOOKUP($H33,UitslagFig!$C$5:$K$251,1,FALSE)),"",VLOOKUP($H33,UitslagFig!$C$5:$K$251,2,FALSE))</f>
        <v>0</v>
      </c>
      <c r="H33" s="45"/>
      <c r="I33" s="47"/>
      <c r="J33" s="45">
        <f>IF(ISNA(VLOOKUP($K33,UitslagFig!$C$5:$K$251,1,FALSE)),"",VLOOKUP($K33,UitslagFig!$C$5:$K$251,2,FALSE))</f>
        <v>0</v>
      </c>
      <c r="K33" s="45"/>
      <c r="L33" s="47"/>
      <c r="M33" s="48">
        <f>IF(ISNA(VLOOKUP($H33,UitslagFig!$C$5:$K$251,1,FALSE)),"",VLOOKUP($H33,UitslagFig!$C$5:$K$251,5,FALSE))</f>
        <v>0</v>
      </c>
      <c r="N33" s="49"/>
      <c r="O33" s="50">
        <v>0</v>
      </c>
      <c r="P33" s="24">
        <f t="shared" si="2"/>
      </c>
      <c r="Q33" s="51">
        <f t="shared" si="3"/>
        <v>0</v>
      </c>
      <c r="R33" s="24">
        <f t="shared" si="4"/>
      </c>
      <c r="S33" s="52"/>
      <c r="T33" s="53"/>
      <c r="U33" s="53"/>
      <c r="V33" s="53"/>
      <c r="W33" s="53"/>
      <c r="X33" s="54">
        <f t="shared" si="5"/>
        <v>0</v>
      </c>
      <c r="Y33" s="55">
        <f t="shared" si="6"/>
        <v>0</v>
      </c>
      <c r="Z33" s="55">
        <f t="shared" si="7"/>
        <v>0</v>
      </c>
      <c r="AA33" s="55">
        <f t="shared" si="8"/>
        <v>0</v>
      </c>
      <c r="AB33" s="55">
        <f t="shared" si="9"/>
        <v>0</v>
      </c>
      <c r="AC33" s="56">
        <f t="shared" si="10"/>
        <v>0</v>
      </c>
      <c r="AD33" s="57">
        <f t="shared" si="11"/>
        <v>0</v>
      </c>
      <c r="AE33" s="58">
        <f t="shared" si="12"/>
        <v>4</v>
      </c>
      <c r="AF33" s="52"/>
      <c r="AG33" s="53"/>
      <c r="AH33" s="53"/>
      <c r="AI33" s="53"/>
      <c r="AJ33" s="53"/>
      <c r="AK33" s="59">
        <f t="shared" si="13"/>
        <v>0</v>
      </c>
      <c r="AL33" s="60">
        <f t="shared" si="14"/>
        <v>0</v>
      </c>
      <c r="AM33" s="60">
        <f t="shared" si="15"/>
        <v>0</v>
      </c>
      <c r="AN33" s="60">
        <f t="shared" si="16"/>
        <v>0</v>
      </c>
      <c r="AO33" s="60">
        <f t="shared" si="17"/>
        <v>0</v>
      </c>
      <c r="AP33" s="61">
        <f t="shared" si="18"/>
        <v>0</v>
      </c>
      <c r="AQ33" s="62">
        <f t="shared" si="19"/>
        <v>0</v>
      </c>
      <c r="AR33" s="63">
        <f t="shared" si="20"/>
        <v>4</v>
      </c>
      <c r="AS33" s="52"/>
      <c r="AT33" s="53"/>
      <c r="AU33" s="53"/>
      <c r="AV33" s="53"/>
      <c r="AW33" s="53"/>
      <c r="AX33" s="66">
        <f t="shared" si="21"/>
        <v>0</v>
      </c>
      <c r="AY33" s="67">
        <f t="shared" si="22"/>
        <v>0</v>
      </c>
      <c r="AZ33" s="67">
        <f t="shared" si="23"/>
        <v>0</v>
      </c>
      <c r="BA33" s="67">
        <f t="shared" si="24"/>
        <v>0</v>
      </c>
      <c r="BB33" s="67">
        <f t="shared" si="25"/>
        <v>0</v>
      </c>
      <c r="BC33" s="68">
        <f t="shared" si="26"/>
        <v>0</v>
      </c>
      <c r="BD33" s="69">
        <f t="shared" si="27"/>
        <v>0</v>
      </c>
      <c r="BE33" s="70">
        <f t="shared" si="28"/>
        <v>4</v>
      </c>
      <c r="BF33" s="71">
        <v>0</v>
      </c>
      <c r="BG33" s="72">
        <f t="shared" si="29"/>
        <v>0</v>
      </c>
      <c r="BH33" s="73">
        <f t="shared" si="30"/>
        <v>0</v>
      </c>
      <c r="BI33" s="74">
        <f t="shared" si="31"/>
        <v>0</v>
      </c>
      <c r="BJ33" s="73">
        <f t="shared" si="32"/>
        <v>0</v>
      </c>
      <c r="BK33" s="73">
        <f t="shared" si="33"/>
        <v>0</v>
      </c>
      <c r="BL33" s="73">
        <f t="shared" si="34"/>
        <v>0</v>
      </c>
      <c r="BM33" s="75">
        <f>IF(ISNA(VLOOKUP(H33,UitslagFig!$C$5:$K$251,1,FALSE)),"",VLOOKUP(H33,UitslagFig!$C$5:$K$251,9,FALSE))</f>
        <v>0</v>
      </c>
      <c r="BN33" s="75">
        <f>IF(ISNA(VLOOKUP(K33,UitslagFig!$C$5:$K$251,1,FALSE)),"",VLOOKUP(K33,UitslagFig!$C$5:$K$251,9,FALSE))</f>
        <v>0</v>
      </c>
      <c r="BO33" s="76">
        <f t="shared" si="35"/>
      </c>
      <c r="BP33" s="76">
        <f t="shared" si="36"/>
      </c>
      <c r="BQ33" s="76">
        <f t="shared" si="37"/>
        <v>0</v>
      </c>
      <c r="BR33" s="76">
        <f t="shared" si="38"/>
        <v>0</v>
      </c>
      <c r="BS33" s="77">
        <f t="shared" si="39"/>
      </c>
      <c r="BT33" s="77">
        <f t="shared" si="40"/>
        <v>0</v>
      </c>
      <c r="BU33" s="78">
        <f t="shared" si="41"/>
        <v>0</v>
      </c>
      <c r="BV33" s="79">
        <f t="shared" si="42"/>
      </c>
    </row>
    <row r="34" spans="1:74" ht="12.75">
      <c r="A34" s="8">
        <v>30</v>
      </c>
      <c r="B34" s="24">
        <f t="shared" si="0"/>
        <v>4</v>
      </c>
      <c r="C34" s="44">
        <f t="shared" si="1"/>
        <v>0</v>
      </c>
      <c r="D34" s="45">
        <f>IF(ISNA(VLOOKUP($H34,UitslagFig!$C$5:$K$251,1,FALSE)),"",VLOOKUP($H34,UitslagFig!$C$5:$K$251,3,FALSE))</f>
        <v>0</v>
      </c>
      <c r="E34" s="45"/>
      <c r="F34" s="45"/>
      <c r="G34" s="45">
        <f>IF(ISNA(VLOOKUP($H34,UitslagFig!$C$5:$K$251,1,FALSE)),"",VLOOKUP($H34,UitslagFig!$C$5:$K$251,2,FALSE))</f>
        <v>0</v>
      </c>
      <c r="H34" s="90"/>
      <c r="I34" s="47"/>
      <c r="J34" s="45">
        <f>IF(ISNA(VLOOKUP($K34,UitslagFig!$C$5:$K$251,1,FALSE)),"",VLOOKUP($K34,UitslagFig!$C$5:$K$251,2,FALSE))</f>
        <v>0</v>
      </c>
      <c r="K34" s="45"/>
      <c r="L34" s="47"/>
      <c r="M34" s="48">
        <f>IF(ISNA(VLOOKUP($H34,UitslagFig!$C$5:$K$251,1,FALSE)),"",VLOOKUP($H34,UitslagFig!$C$5:$K$251,5,FALSE))</f>
        <v>0</v>
      </c>
      <c r="N34" s="49"/>
      <c r="O34" s="50">
        <v>1</v>
      </c>
      <c r="P34" s="24">
        <f t="shared" si="2"/>
        <v>1</v>
      </c>
      <c r="Q34" s="51">
        <f t="shared" si="3"/>
        <v>0</v>
      </c>
      <c r="R34" s="24">
        <f t="shared" si="4"/>
      </c>
      <c r="S34" s="52"/>
      <c r="T34" s="53"/>
      <c r="U34" s="53"/>
      <c r="V34" s="53"/>
      <c r="W34" s="53"/>
      <c r="X34" s="54">
        <f t="shared" si="5"/>
        <v>0</v>
      </c>
      <c r="Y34" s="55">
        <f t="shared" si="6"/>
        <v>0</v>
      </c>
      <c r="Z34" s="55">
        <f t="shared" si="7"/>
        <v>0</v>
      </c>
      <c r="AA34" s="55">
        <f t="shared" si="8"/>
        <v>0</v>
      </c>
      <c r="AB34" s="55">
        <f t="shared" si="9"/>
        <v>0</v>
      </c>
      <c r="AC34" s="56">
        <f t="shared" si="10"/>
        <v>0</v>
      </c>
      <c r="AD34" s="57">
        <f t="shared" si="11"/>
        <v>0</v>
      </c>
      <c r="AE34" s="58">
        <f t="shared" si="12"/>
        <v>4</v>
      </c>
      <c r="AF34" s="52"/>
      <c r="AG34" s="53"/>
      <c r="AH34" s="53"/>
      <c r="AI34" s="53"/>
      <c r="AJ34" s="53"/>
      <c r="AK34" s="59">
        <f t="shared" si="13"/>
        <v>0</v>
      </c>
      <c r="AL34" s="60">
        <f t="shared" si="14"/>
        <v>0</v>
      </c>
      <c r="AM34" s="60">
        <f t="shared" si="15"/>
        <v>0</v>
      </c>
      <c r="AN34" s="60">
        <f t="shared" si="16"/>
        <v>0</v>
      </c>
      <c r="AO34" s="60">
        <f t="shared" si="17"/>
        <v>0</v>
      </c>
      <c r="AP34" s="61">
        <f t="shared" si="18"/>
        <v>0</v>
      </c>
      <c r="AQ34" s="62">
        <f t="shared" si="19"/>
        <v>0</v>
      </c>
      <c r="AR34" s="63">
        <f t="shared" si="20"/>
        <v>4</v>
      </c>
      <c r="AS34" s="52"/>
      <c r="AT34" s="53"/>
      <c r="AU34" s="53"/>
      <c r="AV34" s="53"/>
      <c r="AW34" s="53"/>
      <c r="AX34" s="66">
        <f t="shared" si="21"/>
        <v>0</v>
      </c>
      <c r="AY34" s="67">
        <f t="shared" si="22"/>
        <v>0</v>
      </c>
      <c r="AZ34" s="67">
        <f t="shared" si="23"/>
        <v>0</v>
      </c>
      <c r="BA34" s="67">
        <f t="shared" si="24"/>
        <v>0</v>
      </c>
      <c r="BB34" s="67">
        <f t="shared" si="25"/>
        <v>0</v>
      </c>
      <c r="BC34" s="68">
        <f t="shared" si="26"/>
        <v>0</v>
      </c>
      <c r="BD34" s="69">
        <f t="shared" si="27"/>
        <v>0</v>
      </c>
      <c r="BE34" s="70">
        <f t="shared" si="28"/>
        <v>4</v>
      </c>
      <c r="BF34" s="71">
        <v>0</v>
      </c>
      <c r="BG34" s="72">
        <f t="shared" si="29"/>
        <v>0</v>
      </c>
      <c r="BH34" s="73">
        <f t="shared" si="30"/>
        <v>0</v>
      </c>
      <c r="BI34" s="74">
        <f t="shared" si="31"/>
        <v>0</v>
      </c>
      <c r="BJ34" s="73">
        <f t="shared" si="32"/>
        <v>0</v>
      </c>
      <c r="BK34" s="73">
        <f t="shared" si="33"/>
        <v>0</v>
      </c>
      <c r="BL34" s="73">
        <f t="shared" si="34"/>
        <v>0</v>
      </c>
      <c r="BM34" s="75">
        <f>IF(ISNA(VLOOKUP(H34,UitslagFig!$C$5:$K$251,1,FALSE)),"",VLOOKUP(H34,UitslagFig!$C$5:$K$251,9,FALSE))</f>
        <v>0</v>
      </c>
      <c r="BN34" s="75">
        <f>IF(ISNA(VLOOKUP(K34,UitslagFig!$C$5:$K$251,1,FALSE)),"",VLOOKUP(K34,UitslagFig!$C$5:$K$251,9,FALSE))</f>
        <v>0</v>
      </c>
      <c r="BO34" s="76">
        <f t="shared" si="35"/>
      </c>
      <c r="BP34" s="76">
        <f t="shared" si="36"/>
      </c>
      <c r="BQ34" s="76">
        <f t="shared" si="37"/>
        <v>0</v>
      </c>
      <c r="BR34" s="76">
        <f t="shared" si="38"/>
        <v>0</v>
      </c>
      <c r="BS34" s="77">
        <f t="shared" si="39"/>
      </c>
      <c r="BT34" s="77">
        <f t="shared" si="40"/>
        <v>0</v>
      </c>
      <c r="BU34" s="78">
        <f t="shared" si="41"/>
        <v>0</v>
      </c>
      <c r="BV34" s="79">
        <f t="shared" si="42"/>
      </c>
    </row>
    <row r="35" spans="4:8" ht="12.75">
      <c r="D35" s="91"/>
      <c r="G35" s="92"/>
      <c r="H35" s="90"/>
    </row>
    <row r="36" spans="4:8" ht="12.75">
      <c r="D36" s="91"/>
      <c r="G36" s="92"/>
      <c r="H36" s="90"/>
    </row>
    <row r="37" spans="4:8" ht="12.75">
      <c r="D37" s="91"/>
      <c r="G37" s="92"/>
      <c r="H37" s="90"/>
    </row>
    <row r="38" spans="4:8" ht="12.75">
      <c r="D38" s="91"/>
      <c r="G38" s="92"/>
      <c r="H38" s="90"/>
    </row>
    <row r="39" spans="4:8" ht="12.75">
      <c r="D39" s="91"/>
      <c r="G39" s="92"/>
      <c r="H39" s="90"/>
    </row>
    <row r="40" spans="4:8" ht="12.75">
      <c r="D40" s="91"/>
      <c r="G40" s="92"/>
      <c r="H40" s="90"/>
    </row>
    <row r="41" spans="4:8" ht="12.75">
      <c r="D41" s="91" t="s">
        <v>64</v>
      </c>
      <c r="G41" s="92" t="s">
        <v>64</v>
      </c>
      <c r="H41" s="90" t="s">
        <v>64</v>
      </c>
    </row>
    <row r="42" spans="4:8" ht="12.75">
      <c r="D42" s="91" t="s">
        <v>64</v>
      </c>
      <c r="G42" s="92" t="s">
        <v>64</v>
      </c>
      <c r="H42" s="90" t="s">
        <v>64</v>
      </c>
    </row>
  </sheetData>
  <sheetProtection selectLockedCells="1" selectUnlockedCells="1"/>
  <mergeCells count="11">
    <mergeCell ref="AS3:AW3"/>
    <mergeCell ref="BF3:BG3"/>
    <mergeCell ref="S2:AE2"/>
    <mergeCell ref="AF2:AR2"/>
    <mergeCell ref="AS2:BE2"/>
    <mergeCell ref="G3:I3"/>
    <mergeCell ref="J3:L3"/>
    <mergeCell ref="S3:W3"/>
    <mergeCell ref="X3:AC3"/>
    <mergeCell ref="AF3:AJ3"/>
    <mergeCell ref="AK3:AP3"/>
  </mergeCells>
  <conditionalFormatting sqref="G35:G94">
    <cfRule type="expression" priority="1" dxfId="3" stopIfTrue="1">
      <formula>IF(Invoerensolo!$O35&gt;"",1)</formula>
    </cfRule>
  </conditionalFormatting>
  <conditionalFormatting sqref="H34:H94">
    <cfRule type="expression" priority="2" dxfId="3" stopIfTrue="1">
      <formula>IF(Invoerensolo!$O34&gt;"",1)</formula>
    </cfRule>
  </conditionalFormatting>
  <conditionalFormatting sqref="D35:D94">
    <cfRule type="expression" priority="3" dxfId="3" stopIfTrue="1">
      <formula>IF(Invoerensolo!$O35&gt;"",1)</formula>
    </cfRule>
  </conditionalFormatting>
  <conditionalFormatting sqref="H31">
    <cfRule type="expression" priority="4" dxfId="3" stopIfTrue="1">
      <formula>IF(Invoerensolo!$O31&gt;"",1)</formula>
    </cfRule>
  </conditionalFormatting>
  <conditionalFormatting sqref="H32">
    <cfRule type="expression" priority="5" dxfId="3" stopIfTrue="1">
      <formula>IF(Invoerensolo!$O32&gt;"",1)</formula>
    </cfRule>
  </conditionalFormatting>
  <conditionalFormatting sqref="H33">
    <cfRule type="expression" priority="6" dxfId="3" stopIfTrue="1">
      <formula>IF(Invoerensolo!$O33&gt;"",1)</formula>
    </cfRule>
  </conditionalFormatting>
  <dataValidations count="1">
    <dataValidation type="list" allowBlank="1" showInputMessage="1" showErrorMessage="1" promptTitle="Deelneemster zwemt?" prompt="Zwemster = x&#10;Reserve = Res&#10;Afgemeld = Afm." errorTitle="Deelneemster zwemt?" error="Invoer moet zijn x of Afm  of Res" sqref="I5:I34 L5:L34">
      <formula1>$M$1:$M$3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62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B1:Q247"/>
  <sheetViews>
    <sheetView showZeros="0" view="pageBreakPreview" zoomScaleSheetLayoutView="100" zoomScalePageLayoutView="0" workbookViewId="0" topLeftCell="A14">
      <selection activeCell="A1" sqref="A1"/>
    </sheetView>
  </sheetViews>
  <sheetFormatPr defaultColWidth="9.00390625" defaultRowHeight="12.75"/>
  <cols>
    <col min="1" max="1" width="4.875" style="0" customWidth="1"/>
    <col min="2" max="2" width="6.875" style="106" customWidth="1"/>
    <col min="3" max="3" width="21.25390625" style="106" customWidth="1"/>
    <col min="4" max="4" width="14.375" style="106" customWidth="1"/>
    <col min="5" max="5" width="5.75390625" style="142" customWidth="1"/>
    <col min="6" max="10" width="4.875" style="106" customWidth="1"/>
    <col min="11" max="11" width="7.75390625" style="106" customWidth="1"/>
    <col min="12" max="12" width="4.00390625" style="106" customWidth="1"/>
    <col min="13" max="13" width="4.875" style="106" customWidth="1"/>
    <col min="14" max="14" width="3.75390625" style="106" customWidth="1"/>
    <col min="15" max="15" width="2.25390625" style="106" customWidth="1"/>
    <col min="16" max="16" width="9.625" style="264" customWidth="1"/>
    <col min="17" max="17" width="3.875" style="106" customWidth="1"/>
    <col min="18" max="16384" width="9.125" style="106" customWidth="1"/>
  </cols>
  <sheetData>
    <row r="1" spans="2:16" s="93" customFormat="1" ht="15.75">
      <c r="B1" s="94" t="str">
        <f>'Startlijst solo'!B1</f>
        <v>LSZK-A</v>
      </c>
      <c r="C1" s="95"/>
      <c r="D1" s="95"/>
      <c r="E1" s="96"/>
      <c r="M1" s="265" t="s">
        <v>66</v>
      </c>
      <c r="N1" s="367">
        <f>'Startlijst solo'!N1:P1</f>
        <v>41805</v>
      </c>
      <c r="O1" s="367"/>
      <c r="P1" s="367"/>
    </row>
    <row r="2" spans="2:16" s="93" customFormat="1" ht="15.75">
      <c r="B2" s="98" t="str">
        <f>'Startlijst solo'!B2</f>
        <v>Organisatie:  SPIO Venray</v>
      </c>
      <c r="C2" s="95"/>
      <c r="D2" s="99" t="str">
        <f>'Startlijst solo'!D2</f>
        <v>Zwembad: De Sprank te Venray</v>
      </c>
      <c r="E2" s="96"/>
      <c r="M2" s="265" t="s">
        <v>69</v>
      </c>
      <c r="N2" s="368" t="str">
        <f>'Startlijst solo'!N2:P2</f>
        <v>13.30 uur</v>
      </c>
      <c r="O2" s="368"/>
      <c r="P2" s="368"/>
    </row>
    <row r="3" spans="2:16" s="93" customFormat="1" ht="15.75">
      <c r="B3" s="101" t="s">
        <v>209</v>
      </c>
      <c r="C3" s="101" t="str">
        <f>'Startlijst solo'!C3</f>
        <v>Age I</v>
      </c>
      <c r="D3" s="102"/>
      <c r="E3" s="103"/>
      <c r="F3" s="104"/>
      <c r="G3" s="104"/>
      <c r="H3" s="104"/>
      <c r="I3" s="104"/>
      <c r="J3" s="104"/>
      <c r="K3" s="104"/>
      <c r="P3" s="105"/>
    </row>
    <row r="4" spans="2:17" ht="5.25" customHeight="1">
      <c r="B4" s="107"/>
      <c r="C4" s="107"/>
      <c r="D4" s="108"/>
      <c r="E4" s="109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10"/>
      <c r="Q4" s="107"/>
    </row>
    <row r="5" spans="2:17" ht="15.75">
      <c r="B5" s="111"/>
      <c r="C5" s="112" t="s">
        <v>210</v>
      </c>
      <c r="D5" s="113"/>
      <c r="E5" s="114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5"/>
      <c r="Q5" s="111"/>
    </row>
    <row r="6" spans="2:17" ht="4.5" customHeight="1">
      <c r="B6" s="111"/>
      <c r="C6" s="111"/>
      <c r="D6" s="113"/>
      <c r="E6" s="114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5"/>
      <c r="Q6" s="111"/>
    </row>
    <row r="7" spans="2:17" ht="15">
      <c r="B7" s="106" t="s">
        <v>74</v>
      </c>
      <c r="C7" s="116" t="s">
        <v>18</v>
      </c>
      <c r="D7" s="117" t="s">
        <v>75</v>
      </c>
      <c r="E7" s="114" t="s">
        <v>27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5"/>
      <c r="Q7" s="111"/>
    </row>
    <row r="8" spans="2:17" ht="15">
      <c r="B8" s="106" t="s">
        <v>76</v>
      </c>
      <c r="C8" s="116" t="s">
        <v>77</v>
      </c>
      <c r="D8" s="118" t="s">
        <v>78</v>
      </c>
      <c r="E8" s="119"/>
      <c r="F8" s="121">
        <v>1</v>
      </c>
      <c r="G8" s="121">
        <v>2</v>
      </c>
      <c r="H8" s="121">
        <v>3</v>
      </c>
      <c r="I8" s="121">
        <v>4</v>
      </c>
      <c r="J8" s="121">
        <v>5</v>
      </c>
      <c r="K8" s="121"/>
      <c r="L8" s="121"/>
      <c r="M8" s="121"/>
      <c r="N8" s="121"/>
      <c r="O8" s="121"/>
      <c r="P8" s="122"/>
      <c r="Q8" s="121"/>
    </row>
    <row r="9" spans="2:17" ht="18.75" customHeight="1">
      <c r="B9" s="123">
        <f>Invoerenploeg!$A$5</f>
        <v>1</v>
      </c>
      <c r="C9" s="124" t="str">
        <f>Invoerenploeg!$D$5</f>
        <v>HZPC Horst</v>
      </c>
      <c r="D9" s="125" t="str">
        <f>Invoerenploeg!$E$5</f>
        <v>Limburg</v>
      </c>
      <c r="E9" s="126">
        <v>0.3</v>
      </c>
      <c r="F9" s="127"/>
      <c r="G9" s="127"/>
      <c r="H9" s="127"/>
      <c r="I9" s="128"/>
      <c r="J9" s="128"/>
      <c r="K9" s="129"/>
      <c r="L9" s="130" t="s">
        <v>79</v>
      </c>
      <c r="M9" s="131" t="s">
        <v>80</v>
      </c>
      <c r="N9" s="132">
        <f>Invoerenploeg!C1</f>
        <v>50</v>
      </c>
      <c r="O9" s="133" t="s">
        <v>81</v>
      </c>
      <c r="P9" s="134">
        <f>ROUND(Invoerenploeg!$DH$5*Invoerenploeg!$C$1/100,4)</f>
        <v>20.7006</v>
      </c>
      <c r="Q9" s="49">
        <f>Invoerenploeg!$DL$5</f>
        <v>3</v>
      </c>
    </row>
    <row r="10" spans="2:17" ht="18.75" customHeight="1">
      <c r="B10" s="135" t="str">
        <f>Invoerenploeg!$BI$5</f>
        <v>x</v>
      </c>
      <c r="C10" s="135" t="str">
        <f>Invoerenploeg!$BG$5</f>
        <v>Iris van Bavel</v>
      </c>
      <c r="D10" s="135">
        <f>Invoerenploeg!$BH$5</f>
        <v>200201950</v>
      </c>
      <c r="E10" s="126">
        <v>0.4</v>
      </c>
      <c r="F10" s="127"/>
      <c r="G10" s="127"/>
      <c r="H10" s="127"/>
      <c r="I10" s="128"/>
      <c r="J10" s="128"/>
      <c r="K10" s="136"/>
      <c r="L10" s="137" t="s">
        <v>82</v>
      </c>
      <c r="M10" s="138" t="s">
        <v>83</v>
      </c>
      <c r="N10" s="139">
        <f>Invoerenploeg!C3</f>
        <v>0</v>
      </c>
      <c r="O10" s="140" t="s">
        <v>81</v>
      </c>
      <c r="P10" s="141">
        <f>ROUND(Invoerenploeg!$H$5*Invoerenploeg!$C$3/100,4)</f>
        <v>0</v>
      </c>
      <c r="Q10" s="7">
        <f>Invoerenploeg!$I$5</f>
        <v>3</v>
      </c>
    </row>
    <row r="11" spans="2:17" ht="18.75" customHeight="1">
      <c r="B11" s="135" t="str">
        <f>Invoerenploeg!$BL$5</f>
        <v>x</v>
      </c>
      <c r="C11" s="135" t="str">
        <f>Invoerenploeg!$BJ$5</f>
        <v>Niamh Rutten</v>
      </c>
      <c r="D11" s="135">
        <f>Invoerenploeg!$BK$5</f>
        <v>200201942</v>
      </c>
      <c r="E11" s="126">
        <v>0.3</v>
      </c>
      <c r="F11" s="127"/>
      <c r="G11" s="127"/>
      <c r="H11" s="127"/>
      <c r="I11" s="128"/>
      <c r="J11" s="128"/>
      <c r="K11" s="136"/>
      <c r="L11" s="137" t="s">
        <v>84</v>
      </c>
      <c r="M11" s="142"/>
      <c r="N11" s="142"/>
      <c r="O11" s="143"/>
      <c r="P11" s="143"/>
      <c r="Q11" s="7"/>
    </row>
    <row r="12" spans="2:17" ht="18.75" customHeight="1">
      <c r="B12" s="135" t="str">
        <f>Invoerenploeg!$BO$5</f>
        <v>x</v>
      </c>
      <c r="C12" s="135" t="str">
        <f>Invoerenploeg!$BM$5</f>
        <v>Marit Smits</v>
      </c>
      <c r="D12" s="135">
        <f>Invoerenploeg!$BN$5</f>
        <v>200204220</v>
      </c>
      <c r="F12" s="142"/>
      <c r="G12" s="144"/>
      <c r="H12" s="144"/>
      <c r="I12" s="145"/>
      <c r="J12" s="145"/>
      <c r="K12" s="146">
        <f>SUM(K9:K11)</f>
        <v>0</v>
      </c>
      <c r="L12" s="142"/>
      <c r="M12" s="142"/>
      <c r="N12" s="142"/>
      <c r="O12" s="143"/>
      <c r="P12" s="143"/>
      <c r="Q12" s="7"/>
    </row>
    <row r="13" spans="2:17" ht="18.75" customHeight="1">
      <c r="B13" s="135" t="str">
        <f>Invoerenploeg!$BR$5</f>
        <v>x</v>
      </c>
      <c r="C13" s="135" t="str">
        <f>Invoerenploeg!$BP$5</f>
        <v>Femke Westheim</v>
      </c>
      <c r="D13" s="135">
        <f>Invoerenploeg!$BQ$5</f>
        <v>200204222</v>
      </c>
      <c r="F13" s="142"/>
      <c r="G13" s="135"/>
      <c r="H13" s="135"/>
      <c r="I13" s="147"/>
      <c r="J13" s="148" t="s">
        <v>85</v>
      </c>
      <c r="K13" s="149"/>
      <c r="L13" s="137" t="s">
        <v>86</v>
      </c>
      <c r="M13" s="142"/>
      <c r="N13" s="142"/>
      <c r="O13" s="143"/>
      <c r="P13" s="143"/>
      <c r="Q13" s="7"/>
    </row>
    <row r="14" spans="2:17" ht="18.75" customHeight="1">
      <c r="B14" s="135">
        <f>Invoerenploeg!$BU$5</f>
        <v>0</v>
      </c>
      <c r="C14" s="135">
        <f>Invoerenploeg!$BS$5</f>
        <v>0</v>
      </c>
      <c r="D14" s="135">
        <f>Invoerenploeg!$BT$5</f>
        <v>0</v>
      </c>
      <c r="F14" s="142"/>
      <c r="G14" s="135"/>
      <c r="H14" s="135"/>
      <c r="I14" s="147"/>
      <c r="K14" s="152"/>
      <c r="L14" s="142"/>
      <c r="M14" s="148" t="s">
        <v>88</v>
      </c>
      <c r="N14" s="142">
        <f>Invoerenploeg!$C$2</f>
        <v>50</v>
      </c>
      <c r="O14" s="153" t="s">
        <v>81</v>
      </c>
      <c r="P14" s="154"/>
      <c r="Q14" s="7">
        <f>Invoerenploeg!$K$5</f>
        <v>3</v>
      </c>
    </row>
    <row r="15" spans="2:17" ht="18.75" customHeight="1">
      <c r="B15" s="135">
        <f>Invoerenploeg!$BX$5</f>
        <v>0</v>
      </c>
      <c r="C15" s="135">
        <f>Invoerenploeg!$BV$5</f>
        <v>0</v>
      </c>
      <c r="D15" s="135">
        <f>Invoerenploeg!$BW$5</f>
        <v>0</v>
      </c>
      <c r="F15" s="142"/>
      <c r="G15" s="135"/>
      <c r="H15" s="135"/>
      <c r="I15" s="155">
        <f>Invoerenploeg!$F$5</f>
        <v>0</v>
      </c>
      <c r="K15" s="152"/>
      <c r="L15" s="142"/>
      <c r="M15" s="156" t="s">
        <v>17</v>
      </c>
      <c r="N15" s="142"/>
      <c r="O15" s="142"/>
      <c r="P15" s="143">
        <f>P9+P10</f>
        <v>20.7006</v>
      </c>
      <c r="Q15" s="157"/>
    </row>
    <row r="16" spans="2:17" ht="18.75" customHeight="1">
      <c r="B16" s="135">
        <f>Invoerenploeg!$CA$5</f>
        <v>0</v>
      </c>
      <c r="C16" s="135">
        <f>Invoerenploeg!$BY$5</f>
        <v>0</v>
      </c>
      <c r="D16" s="135">
        <f>Invoerenploeg!$BZ$5</f>
        <v>0</v>
      </c>
      <c r="F16" s="142"/>
      <c r="G16" s="135"/>
      <c r="H16" s="135"/>
      <c r="I16" s="147"/>
      <c r="J16" s="156"/>
      <c r="K16" s="152"/>
      <c r="L16" s="142"/>
      <c r="M16" s="142"/>
      <c r="N16" s="142"/>
      <c r="O16" s="143"/>
      <c r="P16" s="143"/>
      <c r="Q16" s="7"/>
    </row>
    <row r="17" spans="2:17" ht="18.75" customHeight="1">
      <c r="B17" s="135">
        <f>Invoerenploeg!$CD$5</f>
        <v>0</v>
      </c>
      <c r="C17" s="135">
        <f>Invoerenploeg!$CB$5</f>
        <v>0</v>
      </c>
      <c r="D17" s="135">
        <f>Invoerenploeg!$CC$5</f>
        <v>0</v>
      </c>
      <c r="E17" s="135" t="s">
        <v>19</v>
      </c>
      <c r="F17" s="96"/>
      <c r="G17" s="96"/>
      <c r="H17" s="135" t="str">
        <f>Invoerenploeg!$CK$5</f>
        <v>Red Hot</v>
      </c>
      <c r="I17" s="96"/>
      <c r="J17" s="96"/>
      <c r="K17" s="96"/>
      <c r="L17" s="96"/>
      <c r="M17" s="96"/>
      <c r="N17" s="96"/>
      <c r="O17" s="143"/>
      <c r="P17" s="143"/>
      <c r="Q17" s="7"/>
    </row>
    <row r="18" spans="2:17" ht="18.75" customHeight="1">
      <c r="B18" s="135">
        <f>Invoerenploeg!$CG$5</f>
        <v>0</v>
      </c>
      <c r="C18" s="135">
        <f>Invoerenploeg!$CE$5</f>
        <v>0</v>
      </c>
      <c r="D18" s="135">
        <f>Invoerenploeg!$CF$5</f>
        <v>0</v>
      </c>
      <c r="E18" s="135" t="s">
        <v>20</v>
      </c>
      <c r="F18" s="96"/>
      <c r="G18" s="96"/>
      <c r="H18" s="135" t="str">
        <f>Invoerenploeg!$CL$5</f>
        <v>Sophie en Mieke</v>
      </c>
      <c r="I18" s="96"/>
      <c r="J18" s="96"/>
      <c r="K18" s="96"/>
      <c r="L18" s="96"/>
      <c r="M18" s="96"/>
      <c r="N18" s="96"/>
      <c r="O18" s="143"/>
      <c r="P18" s="143"/>
      <c r="Q18" s="7"/>
    </row>
    <row r="19" spans="2:17" ht="18.75" customHeight="1">
      <c r="B19" s="135">
        <f>Invoerenploeg!$CJ$5</f>
        <v>0</v>
      </c>
      <c r="C19" s="135">
        <f>Invoerenploeg!$CH$5</f>
        <v>0</v>
      </c>
      <c r="D19" s="135">
        <f>Invoerenploeg!$CI$5</f>
        <v>0</v>
      </c>
      <c r="F19" s="142"/>
      <c r="G19" s="135"/>
      <c r="H19" s="135"/>
      <c r="I19" s="147"/>
      <c r="J19" s="156"/>
      <c r="K19" s="152"/>
      <c r="L19" s="142"/>
      <c r="M19" s="142"/>
      <c r="N19" s="142"/>
      <c r="O19" s="143"/>
      <c r="P19" s="143"/>
      <c r="Q19" s="7"/>
    </row>
    <row r="20" spans="2:17" ht="3" customHeight="1">
      <c r="B20" s="266"/>
      <c r="C20" s="266"/>
      <c r="D20" s="266"/>
      <c r="E20" s="189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  <c r="Q20" s="266"/>
    </row>
    <row r="21" spans="2:17" ht="18.75" customHeight="1">
      <c r="B21" s="155">
        <f>Invoerenploeg!$A$6</f>
        <v>2</v>
      </c>
      <c r="C21" s="161" t="str">
        <f>Invoerenploeg!$D$6</f>
        <v>ZV Brunssum</v>
      </c>
      <c r="D21" s="125" t="str">
        <f>Invoerenploeg!$E$6</f>
        <v>Limburg</v>
      </c>
      <c r="E21" s="268">
        <v>0.3</v>
      </c>
      <c r="F21" s="162"/>
      <c r="G21" s="162"/>
      <c r="H21" s="162"/>
      <c r="I21" s="163"/>
      <c r="J21" s="163"/>
      <c r="K21" s="136"/>
      <c r="L21" s="130" t="s">
        <v>79</v>
      </c>
      <c r="M21" s="164" t="s">
        <v>80</v>
      </c>
      <c r="N21" s="165">
        <f>Invoerenploeg!$C$1</f>
        <v>50</v>
      </c>
      <c r="O21" s="166" t="s">
        <v>81</v>
      </c>
      <c r="P21" s="167">
        <f>ROUND(Invoerenploeg!$DH$6*Invoerenploeg!$C$1/100,4)</f>
        <v>24.0556</v>
      </c>
      <c r="Q21" s="49">
        <f>Invoerenploeg!$DL$6</f>
        <v>2</v>
      </c>
    </row>
    <row r="22" spans="2:17" ht="18.75" customHeight="1">
      <c r="B22" s="135" t="str">
        <f>Invoerenploeg!$BI$6</f>
        <v>x</v>
      </c>
      <c r="C22" s="135" t="str">
        <f>Invoerenploeg!$BG$6</f>
        <v>Chiara Boots</v>
      </c>
      <c r="D22" s="135">
        <f>Invoerenploeg!$BH$6</f>
        <v>200301748</v>
      </c>
      <c r="E22" s="126">
        <v>0.4</v>
      </c>
      <c r="F22" s="127"/>
      <c r="G22" s="127"/>
      <c r="H22" s="127"/>
      <c r="I22" s="128"/>
      <c r="J22" s="128"/>
      <c r="K22" s="136"/>
      <c r="L22" s="137" t="s">
        <v>82</v>
      </c>
      <c r="M22" s="138" t="s">
        <v>83</v>
      </c>
      <c r="N22" s="139">
        <f>Invoerenploeg!$C$3</f>
        <v>0</v>
      </c>
      <c r="O22" s="140" t="s">
        <v>81</v>
      </c>
      <c r="P22" s="141">
        <f>ROUND(Invoerenploeg!$H$6*Invoerenploeg!$C$3/100,4)</f>
        <v>0</v>
      </c>
      <c r="Q22" s="7">
        <f>Invoerenploeg!$I$6</f>
        <v>1</v>
      </c>
    </row>
    <row r="23" spans="2:17" ht="18.75" customHeight="1">
      <c r="B23" s="135" t="str">
        <f>Invoerenploeg!$BL$6</f>
        <v>x</v>
      </c>
      <c r="C23" s="135" t="str">
        <f>Invoerenploeg!$BJ$6</f>
        <v>Joy Elferink</v>
      </c>
      <c r="D23" s="135">
        <f>Invoerenploeg!$BK$6</f>
        <v>200002050</v>
      </c>
      <c r="E23" s="126">
        <v>0.3</v>
      </c>
      <c r="F23" s="127"/>
      <c r="G23" s="127"/>
      <c r="H23" s="127"/>
      <c r="I23" s="128"/>
      <c r="J23" s="128"/>
      <c r="K23" s="136"/>
      <c r="L23" s="137" t="s">
        <v>84</v>
      </c>
      <c r="M23" s="142"/>
      <c r="N23" s="142"/>
      <c r="O23" s="143"/>
      <c r="P23" s="143"/>
      <c r="Q23" s="7"/>
    </row>
    <row r="24" spans="2:17" ht="18.75" customHeight="1">
      <c r="B24" s="135" t="str">
        <f>Invoerenploeg!$BO$6</f>
        <v>x</v>
      </c>
      <c r="C24" s="135" t="str">
        <f>Invoerenploeg!$BM$6</f>
        <v>Rachel Hochstenbach</v>
      </c>
      <c r="D24" s="135">
        <f>Invoerenploeg!$BN$6</f>
        <v>200202062</v>
      </c>
      <c r="F24" s="142"/>
      <c r="G24" s="144"/>
      <c r="H24" s="144"/>
      <c r="I24" s="145"/>
      <c r="J24" s="145"/>
      <c r="K24" s="146">
        <f>SUM(K21:K23)</f>
        <v>0</v>
      </c>
      <c r="L24" s="142"/>
      <c r="M24" s="142"/>
      <c r="N24" s="142"/>
      <c r="O24" s="143"/>
      <c r="P24" s="143"/>
      <c r="Q24" s="7"/>
    </row>
    <row r="25" spans="2:17" ht="18.75" customHeight="1">
      <c r="B25" s="135" t="str">
        <f>Invoerenploeg!$BR$6</f>
        <v>x</v>
      </c>
      <c r="C25" s="135" t="str">
        <f>Invoerenploeg!$BP$6</f>
        <v>Abigail Vievermanns</v>
      </c>
      <c r="D25" s="135">
        <f>Invoerenploeg!$BQ$6</f>
        <v>200400222</v>
      </c>
      <c r="F25" s="142"/>
      <c r="G25" s="135"/>
      <c r="H25" s="135"/>
      <c r="I25" s="147"/>
      <c r="J25" s="148" t="s">
        <v>85</v>
      </c>
      <c r="K25" s="149"/>
      <c r="L25" s="137" t="s">
        <v>86</v>
      </c>
      <c r="M25" s="142"/>
      <c r="N25" s="142"/>
      <c r="O25" s="143"/>
      <c r="P25" s="143"/>
      <c r="Q25" s="7"/>
    </row>
    <row r="26" spans="2:17" ht="18.75" customHeight="1">
      <c r="B26" s="135">
        <f>Invoerenploeg!$BU$6</f>
        <v>0</v>
      </c>
      <c r="C26" s="135">
        <f>Invoerenploeg!$BS$6</f>
        <v>0</v>
      </c>
      <c r="D26" s="135">
        <f>Invoerenploeg!$BT$6</f>
        <v>0</v>
      </c>
      <c r="F26" s="142"/>
      <c r="G26" s="135"/>
      <c r="H26" s="135"/>
      <c r="I26" s="147"/>
      <c r="K26" s="152"/>
      <c r="L26" s="142"/>
      <c r="M26" s="148" t="s">
        <v>88</v>
      </c>
      <c r="N26" s="142">
        <f>Invoerenploeg!$C$2</f>
        <v>50</v>
      </c>
      <c r="O26" s="153" t="s">
        <v>81</v>
      </c>
      <c r="P26" s="154"/>
      <c r="Q26" s="7">
        <f>Invoerenploeg!$K$6</f>
        <v>1</v>
      </c>
    </row>
    <row r="27" spans="2:17" ht="18.75" customHeight="1">
      <c r="B27" s="135">
        <f>Invoerenploeg!$BX$6</f>
        <v>0</v>
      </c>
      <c r="C27" s="135">
        <f>Invoerenploeg!$BV$6</f>
        <v>0</v>
      </c>
      <c r="D27" s="135">
        <f>Invoerenploeg!$BW$6</f>
        <v>0</v>
      </c>
      <c r="F27" s="142"/>
      <c r="G27" s="135"/>
      <c r="H27" s="135"/>
      <c r="I27" s="155">
        <f>Invoerenploeg!$F$6</f>
        <v>0</v>
      </c>
      <c r="K27" s="152"/>
      <c r="L27" s="142"/>
      <c r="M27" s="156" t="s">
        <v>17</v>
      </c>
      <c r="N27" s="142"/>
      <c r="O27" s="142"/>
      <c r="P27" s="143">
        <f>P21+P22</f>
        <v>24.0556</v>
      </c>
      <c r="Q27" s="157"/>
    </row>
    <row r="28" spans="2:17" ht="18.75" customHeight="1">
      <c r="B28" s="135">
        <f>Invoerenploeg!$CA$6</f>
        <v>0</v>
      </c>
      <c r="C28" s="135">
        <f>Invoerenploeg!$BY$6</f>
        <v>0</v>
      </c>
      <c r="D28" s="135">
        <f>Invoerenploeg!$BZ$6</f>
        <v>0</v>
      </c>
      <c r="F28" s="142"/>
      <c r="G28" s="135"/>
      <c r="H28" s="135"/>
      <c r="I28" s="147"/>
      <c r="J28" s="156"/>
      <c r="K28" s="152"/>
      <c r="L28" s="142"/>
      <c r="M28" s="142"/>
      <c r="N28" s="142"/>
      <c r="O28" s="143"/>
      <c r="P28" s="143"/>
      <c r="Q28" s="7"/>
    </row>
    <row r="29" spans="2:17" ht="18.75" customHeight="1">
      <c r="B29" s="135">
        <f>Invoerenploeg!$CD$6</f>
        <v>0</v>
      </c>
      <c r="C29" s="135">
        <f>Invoerenploeg!$CB$6</f>
        <v>0</v>
      </c>
      <c r="D29" s="135">
        <f>Invoerenploeg!$CC$6</f>
        <v>0</v>
      </c>
      <c r="E29" s="135" t="s">
        <v>19</v>
      </c>
      <c r="F29" s="96"/>
      <c r="G29" s="96"/>
      <c r="H29" s="135" t="str">
        <f>Invoerenploeg!$CK$6</f>
        <v>Beggin'</v>
      </c>
      <c r="I29" s="96"/>
      <c r="J29" s="96"/>
      <c r="K29" s="96"/>
      <c r="L29" s="96"/>
      <c r="M29" s="96"/>
      <c r="N29" s="96"/>
      <c r="O29" s="143"/>
      <c r="P29" s="143"/>
      <c r="Q29" s="7"/>
    </row>
    <row r="30" spans="2:17" ht="18.75" customHeight="1">
      <c r="B30" s="135">
        <f>Invoerenploeg!$CG$6</f>
        <v>0</v>
      </c>
      <c r="C30" s="135">
        <f>Invoerenploeg!$CE$6</f>
        <v>0</v>
      </c>
      <c r="D30" s="135">
        <f>Invoerenploeg!$CF$6</f>
        <v>0</v>
      </c>
      <c r="E30" s="135" t="s">
        <v>20</v>
      </c>
      <c r="F30" s="96"/>
      <c r="G30" s="96"/>
      <c r="H30" s="135" t="str">
        <f>Invoerenploeg!$CL$6</f>
        <v>ZVB</v>
      </c>
      <c r="I30" s="96"/>
      <c r="J30" s="96"/>
      <c r="K30" s="96"/>
      <c r="L30" s="96"/>
      <c r="M30" s="96"/>
      <c r="N30" s="96"/>
      <c r="O30" s="143"/>
      <c r="P30" s="143"/>
      <c r="Q30" s="7"/>
    </row>
    <row r="31" spans="2:17" ht="18.75" customHeight="1">
      <c r="B31" s="135">
        <f>Invoerenploeg!$CJ$6</f>
        <v>0</v>
      </c>
      <c r="C31" s="135">
        <f>Invoerenploeg!$CH$6</f>
        <v>0</v>
      </c>
      <c r="D31" s="135">
        <f>Invoerenploeg!$CI$6</f>
        <v>0</v>
      </c>
      <c r="F31" s="142"/>
      <c r="G31" s="135"/>
      <c r="H31" s="135"/>
      <c r="I31" s="147"/>
      <c r="J31" s="156"/>
      <c r="K31" s="152"/>
      <c r="L31" s="142"/>
      <c r="M31" s="142"/>
      <c r="N31" s="142"/>
      <c r="O31" s="143"/>
      <c r="P31" s="143"/>
      <c r="Q31" s="7"/>
    </row>
    <row r="32" spans="3:4" ht="3" customHeight="1">
      <c r="C32" s="266"/>
      <c r="D32" s="266"/>
    </row>
    <row r="33" spans="2:17" ht="18.75" customHeight="1">
      <c r="B33" s="155">
        <f>Invoerenploeg!$A$7</f>
        <v>3</v>
      </c>
      <c r="C33" s="161" t="str">
        <f>Invoerenploeg!$D$7</f>
        <v>SPIO Venray</v>
      </c>
      <c r="D33" s="125" t="str">
        <f>Invoerenploeg!$E$7</f>
        <v>Limburg</v>
      </c>
      <c r="E33" s="268">
        <v>0.3</v>
      </c>
      <c r="F33" s="162"/>
      <c r="G33" s="162"/>
      <c r="H33" s="162"/>
      <c r="I33" s="163"/>
      <c r="J33" s="163"/>
      <c r="K33" s="136"/>
      <c r="L33" s="130" t="s">
        <v>79</v>
      </c>
      <c r="M33" s="164" t="s">
        <v>80</v>
      </c>
      <c r="N33" s="165">
        <f>Invoerenploeg!$C$1</f>
        <v>50</v>
      </c>
      <c r="O33" s="166" t="s">
        <v>81</v>
      </c>
      <c r="P33" s="167">
        <f>ROUND(Invoerenploeg!$DH$7*Invoerenploeg!$C$1/100,4)</f>
        <v>21.5185</v>
      </c>
      <c r="Q33" s="49">
        <f>Invoerenploeg!$DL$7</f>
        <v>1</v>
      </c>
    </row>
    <row r="34" spans="2:17" ht="18.75" customHeight="1">
      <c r="B34" s="135" t="str">
        <f>Invoerenploeg!$BI$7</f>
        <v>x</v>
      </c>
      <c r="C34" s="135" t="str">
        <f>Invoerenploeg!$BG$7</f>
        <v>Vera Andriessen</v>
      </c>
      <c r="D34" s="135">
        <f>Invoerenploeg!$BH$7</f>
        <v>200200444</v>
      </c>
      <c r="E34" s="126">
        <v>0.4</v>
      </c>
      <c r="F34" s="127"/>
      <c r="G34" s="127"/>
      <c r="H34" s="127"/>
      <c r="I34" s="128"/>
      <c r="J34" s="128"/>
      <c r="K34" s="136"/>
      <c r="L34" s="137" t="s">
        <v>82</v>
      </c>
      <c r="M34" s="138" t="s">
        <v>83</v>
      </c>
      <c r="N34" s="139">
        <f>Invoerenploeg!$C$3</f>
        <v>0</v>
      </c>
      <c r="O34" s="140" t="s">
        <v>81</v>
      </c>
      <c r="P34" s="141">
        <f>ROUND(Invoerenploeg!$H$7*Invoerenploeg!$C$3/100,4)</f>
        <v>0</v>
      </c>
      <c r="Q34" s="7">
        <f>Invoerenploeg!$I$7</f>
        <v>2</v>
      </c>
    </row>
    <row r="35" spans="2:17" ht="18.75" customHeight="1">
      <c r="B35" s="135" t="str">
        <f>Invoerenploeg!$BL$7</f>
        <v>x</v>
      </c>
      <c r="C35" s="135" t="str">
        <f>Invoerenploeg!$BJ$7</f>
        <v>Brechje Brauer</v>
      </c>
      <c r="D35" s="135">
        <f>Invoerenploeg!$BK$7</f>
        <v>200201966</v>
      </c>
      <c r="E35" s="126">
        <v>0.3</v>
      </c>
      <c r="F35" s="127"/>
      <c r="G35" s="127"/>
      <c r="H35" s="127"/>
      <c r="I35" s="128"/>
      <c r="J35" s="128"/>
      <c r="K35" s="136"/>
      <c r="L35" s="137" t="s">
        <v>84</v>
      </c>
      <c r="M35" s="142"/>
      <c r="N35" s="142"/>
      <c r="O35" s="143"/>
      <c r="P35" s="143"/>
      <c r="Q35" s="7"/>
    </row>
    <row r="36" spans="2:17" ht="18.75" customHeight="1">
      <c r="B36" s="135" t="str">
        <f>Invoerenploeg!$BO$7</f>
        <v>x</v>
      </c>
      <c r="C36" s="135" t="str">
        <f>Invoerenploeg!$BM$7</f>
        <v>Neri Euwes</v>
      </c>
      <c r="D36" s="135">
        <f>Invoerenploeg!$BN$7</f>
        <v>200200074</v>
      </c>
      <c r="F36" s="142"/>
      <c r="G36" s="144"/>
      <c r="H36" s="144"/>
      <c r="I36" s="145"/>
      <c r="J36" s="145"/>
      <c r="K36" s="146">
        <f>SUM(K33:K35)</f>
        <v>0</v>
      </c>
      <c r="L36" s="142"/>
      <c r="M36" s="142"/>
      <c r="N36" s="142"/>
      <c r="O36" s="143"/>
      <c r="P36" s="143"/>
      <c r="Q36" s="7"/>
    </row>
    <row r="37" spans="2:17" ht="18.75" customHeight="1">
      <c r="B37" s="135" t="str">
        <f>Invoerenploeg!$BR$7</f>
        <v>x</v>
      </c>
      <c r="C37" s="135" t="str">
        <f>Invoerenploeg!$BP$7</f>
        <v>Elke Francken</v>
      </c>
      <c r="D37" s="135">
        <f>Invoerenploeg!$BQ$7</f>
        <v>200201968</v>
      </c>
      <c r="F37" s="142"/>
      <c r="G37" s="135"/>
      <c r="H37" s="135"/>
      <c r="I37" s="147"/>
      <c r="J37" s="148" t="s">
        <v>85</v>
      </c>
      <c r="K37" s="149"/>
      <c r="L37" s="137" t="s">
        <v>86</v>
      </c>
      <c r="M37" s="142"/>
      <c r="N37" s="142"/>
      <c r="O37" s="143"/>
      <c r="P37" s="143"/>
      <c r="Q37" s="7"/>
    </row>
    <row r="38" spans="2:17" ht="18.75" customHeight="1">
      <c r="B38" s="135" t="str">
        <f>Invoerenploeg!$BU$7</f>
        <v>x</v>
      </c>
      <c r="C38" s="135" t="str">
        <f>Invoerenploeg!$BS$7</f>
        <v>Sanne Havens</v>
      </c>
      <c r="D38" s="135">
        <f>Invoerenploeg!$BT$7</f>
        <v>200201970</v>
      </c>
      <c r="F38" s="142"/>
      <c r="G38" s="135"/>
      <c r="H38" s="135"/>
      <c r="I38" s="147"/>
      <c r="K38" s="152"/>
      <c r="L38" s="142"/>
      <c r="M38" s="148" t="s">
        <v>88</v>
      </c>
      <c r="N38" s="142">
        <f>Invoerenploeg!$C$2</f>
        <v>50</v>
      </c>
      <c r="O38" s="153" t="s">
        <v>81</v>
      </c>
      <c r="P38" s="154"/>
      <c r="Q38" s="7">
        <f>Invoerenploeg!$K$7</f>
        <v>2</v>
      </c>
    </row>
    <row r="39" spans="2:17" ht="18.75" customHeight="1">
      <c r="B39" s="135" t="str">
        <f>Invoerenploeg!$BX$7</f>
        <v>x</v>
      </c>
      <c r="C39" s="135" t="str">
        <f>Invoerenploeg!$BV$7</f>
        <v>Denise Hendrix</v>
      </c>
      <c r="D39" s="135">
        <f>Invoerenploeg!$BW$7</f>
        <v>200200990</v>
      </c>
      <c r="F39" s="142"/>
      <c r="G39" s="135"/>
      <c r="H39" s="135"/>
      <c r="I39" s="155">
        <f>Invoerenploeg!$F$7</f>
        <v>0</v>
      </c>
      <c r="K39" s="152"/>
      <c r="L39" s="142"/>
      <c r="M39" s="156" t="s">
        <v>17</v>
      </c>
      <c r="N39" s="142"/>
      <c r="O39" s="142"/>
      <c r="P39" s="143">
        <f>P33+P34</f>
        <v>21.5185</v>
      </c>
      <c r="Q39" s="157"/>
    </row>
    <row r="40" spans="2:17" ht="18.75" customHeight="1">
      <c r="B40" s="135">
        <f>Invoerenploeg!$CA$7</f>
        <v>0</v>
      </c>
      <c r="C40" s="135">
        <f>Invoerenploeg!$BY$7</f>
        <v>0</v>
      </c>
      <c r="D40" s="135">
        <f>Invoerenploeg!$BZ$7</f>
        <v>0</v>
      </c>
      <c r="F40" s="142"/>
      <c r="G40" s="135"/>
      <c r="H40" s="135"/>
      <c r="I40" s="147"/>
      <c r="J40" s="156"/>
      <c r="K40" s="152"/>
      <c r="L40" s="142"/>
      <c r="M40" s="142"/>
      <c r="N40" s="142"/>
      <c r="O40" s="143"/>
      <c r="P40" s="143"/>
      <c r="Q40" s="7"/>
    </row>
    <row r="41" spans="2:17" ht="18.75" customHeight="1">
      <c r="B41" s="135">
        <f>Invoerenploeg!$CD$7</f>
        <v>0</v>
      </c>
      <c r="C41" s="135">
        <f>Invoerenploeg!$CB$7</f>
        <v>0</v>
      </c>
      <c r="D41" s="135">
        <f>Invoerenploeg!$CC$7</f>
        <v>0</v>
      </c>
      <c r="E41" s="135" t="s">
        <v>19</v>
      </c>
      <c r="F41" s="96"/>
      <c r="G41" s="96"/>
      <c r="H41" s="135" t="str">
        <f>Invoerenploeg!$CK$7</f>
        <v>Madagascar</v>
      </c>
      <c r="I41" s="96"/>
      <c r="J41" s="96"/>
      <c r="K41" s="96"/>
      <c r="L41" s="96"/>
      <c r="M41" s="96"/>
      <c r="N41" s="96"/>
      <c r="O41" s="143"/>
      <c r="P41" s="143"/>
      <c r="Q41" s="7"/>
    </row>
    <row r="42" spans="2:17" ht="18.75" customHeight="1">
      <c r="B42" s="135">
        <f>Invoerenploeg!$CG$7</f>
        <v>0</v>
      </c>
      <c r="C42" s="135">
        <f>Invoerenploeg!$CE$7</f>
        <v>0</v>
      </c>
      <c r="D42" s="135">
        <f>Invoerenploeg!$CF$7</f>
        <v>0</v>
      </c>
      <c r="E42" s="135" t="s">
        <v>20</v>
      </c>
      <c r="F42" s="96"/>
      <c r="G42" s="96"/>
      <c r="H42" s="135" t="str">
        <f>Invoerenploeg!$CL$7</f>
        <v>Spio Synchro</v>
      </c>
      <c r="I42" s="96"/>
      <c r="J42" s="96"/>
      <c r="K42" s="96"/>
      <c r="L42" s="96"/>
      <c r="M42" s="96"/>
      <c r="N42" s="96"/>
      <c r="O42" s="143"/>
      <c r="P42" s="143"/>
      <c r="Q42" s="7"/>
    </row>
    <row r="43" spans="2:17" ht="18.75" customHeight="1">
      <c r="B43" s="135">
        <f>Invoerenploeg!$CJ$7</f>
        <v>0</v>
      </c>
      <c r="C43" s="135">
        <f>Invoerenploeg!$CH$7</f>
        <v>0</v>
      </c>
      <c r="D43" s="135">
        <f>Invoerenploeg!$CI$7</f>
        <v>0</v>
      </c>
      <c r="F43" s="142"/>
      <c r="G43" s="135"/>
      <c r="H43" s="135"/>
      <c r="I43" s="147"/>
      <c r="J43" s="156"/>
      <c r="K43" s="152"/>
      <c r="L43" s="142"/>
      <c r="M43" s="142"/>
      <c r="N43" s="142"/>
      <c r="O43" s="143"/>
      <c r="P43" s="143"/>
      <c r="Q43" s="7"/>
    </row>
    <row r="44" ht="3" customHeight="1"/>
    <row r="45" spans="2:17" ht="18.75" customHeight="1">
      <c r="B45" s="155">
        <f>Invoerenploeg!$A$8</f>
        <v>4</v>
      </c>
      <c r="C45" s="161">
        <f>Invoerenploeg!$D$8</f>
        <v>0</v>
      </c>
      <c r="D45" s="125">
        <f>Invoerenploeg!$E$8</f>
        <v>0</v>
      </c>
      <c r="E45" s="268">
        <v>0.3</v>
      </c>
      <c r="F45" s="162"/>
      <c r="G45" s="162"/>
      <c r="H45" s="162"/>
      <c r="I45" s="163"/>
      <c r="J45" s="163"/>
      <c r="K45" s="136"/>
      <c r="L45" s="130" t="s">
        <v>79</v>
      </c>
      <c r="M45" s="164" t="s">
        <v>80</v>
      </c>
      <c r="N45" s="165">
        <f>Invoerenploeg!$C$1</f>
        <v>50</v>
      </c>
      <c r="O45" s="166" t="s">
        <v>81</v>
      </c>
      <c r="P45" s="167">
        <f>ROUND(Invoerenploeg!$DH$8*Invoerenploeg!$C$1/100,4)</f>
        <v>0</v>
      </c>
      <c r="Q45" s="49">
        <f>Invoerenploeg!$DL$8</f>
      </c>
    </row>
    <row r="46" spans="2:17" ht="18.75" customHeight="1">
      <c r="B46" s="135">
        <f>Invoerenploeg!$BI$8</f>
        <v>0</v>
      </c>
      <c r="C46" s="135">
        <f>Invoerenploeg!$BG$8</f>
        <v>0</v>
      </c>
      <c r="D46" s="135">
        <f>Invoerenploeg!$BH$8</f>
        <v>0</v>
      </c>
      <c r="E46" s="126">
        <v>0.4</v>
      </c>
      <c r="F46" s="127"/>
      <c r="G46" s="127"/>
      <c r="H46" s="127"/>
      <c r="I46" s="128"/>
      <c r="J46" s="128"/>
      <c r="K46" s="136"/>
      <c r="L46" s="137" t="s">
        <v>82</v>
      </c>
      <c r="M46" s="138" t="s">
        <v>83</v>
      </c>
      <c r="N46" s="139">
        <f>Invoerenploeg!$C$3</f>
        <v>0</v>
      </c>
      <c r="O46" s="140" t="s">
        <v>81</v>
      </c>
      <c r="P46" s="141">
        <f>ROUND(Invoerenploeg!$H$8*Invoerenploeg!$C$3/100,4)</f>
        <v>0</v>
      </c>
      <c r="Q46" s="7">
        <f>Invoerenploeg!$I$8</f>
      </c>
    </row>
    <row r="47" spans="2:17" ht="18.75" customHeight="1">
      <c r="B47" s="135">
        <f>Invoerenploeg!$BL$8</f>
        <v>0</v>
      </c>
      <c r="C47" s="135">
        <f>Invoerenploeg!$BJ$8</f>
        <v>0</v>
      </c>
      <c r="D47" s="135">
        <f>Invoerenploeg!$BK$8</f>
        <v>0</v>
      </c>
      <c r="E47" s="126">
        <v>0.3</v>
      </c>
      <c r="F47" s="127"/>
      <c r="G47" s="127"/>
      <c r="H47" s="127"/>
      <c r="I47" s="128"/>
      <c r="J47" s="128"/>
      <c r="K47" s="136"/>
      <c r="L47" s="137" t="s">
        <v>84</v>
      </c>
      <c r="M47" s="142"/>
      <c r="N47" s="142"/>
      <c r="O47" s="143"/>
      <c r="P47" s="143"/>
      <c r="Q47" s="7"/>
    </row>
    <row r="48" spans="2:17" ht="18.75" customHeight="1">
      <c r="B48" s="135">
        <f>Invoerenploeg!$BO$8</f>
        <v>0</v>
      </c>
      <c r="C48" s="135">
        <f>Invoerenploeg!$BM$8</f>
        <v>0</v>
      </c>
      <c r="D48" s="135">
        <f>Invoerenploeg!$BN$8</f>
        <v>0</v>
      </c>
      <c r="F48" s="142"/>
      <c r="G48" s="144"/>
      <c r="H48" s="144"/>
      <c r="I48" s="145"/>
      <c r="J48" s="145"/>
      <c r="K48" s="146">
        <f>SUM(K45:K47)</f>
        <v>0</v>
      </c>
      <c r="L48" s="142"/>
      <c r="M48" s="142"/>
      <c r="N48" s="142"/>
      <c r="O48" s="143"/>
      <c r="P48" s="143"/>
      <c r="Q48" s="7"/>
    </row>
    <row r="49" spans="2:17" ht="18.75" customHeight="1">
      <c r="B49" s="135">
        <f>Invoerenploeg!$BR$8</f>
        <v>0</v>
      </c>
      <c r="C49" s="135">
        <f>Invoerenploeg!$BP$8</f>
        <v>0</v>
      </c>
      <c r="D49" s="135">
        <f>Invoerenploeg!$BQ$8</f>
        <v>0</v>
      </c>
      <c r="F49" s="142"/>
      <c r="G49" s="135"/>
      <c r="H49" s="135"/>
      <c r="I49" s="147"/>
      <c r="J49" s="148" t="s">
        <v>85</v>
      </c>
      <c r="K49" s="149"/>
      <c r="L49" s="137" t="s">
        <v>86</v>
      </c>
      <c r="M49" s="142"/>
      <c r="N49" s="142"/>
      <c r="O49" s="143"/>
      <c r="P49" s="143"/>
      <c r="Q49" s="7"/>
    </row>
    <row r="50" spans="2:17" ht="18.75" customHeight="1">
      <c r="B50" s="135">
        <f>Invoerenploeg!$BU$8</f>
        <v>0</v>
      </c>
      <c r="C50" s="135">
        <f>Invoerenploeg!$BS$8</f>
        <v>0</v>
      </c>
      <c r="D50" s="135">
        <f>Invoerenploeg!$BT$8</f>
        <v>0</v>
      </c>
      <c r="F50" s="142"/>
      <c r="G50" s="135"/>
      <c r="H50" s="135"/>
      <c r="I50" s="147"/>
      <c r="K50" s="152"/>
      <c r="L50" s="142"/>
      <c r="M50" s="148" t="s">
        <v>88</v>
      </c>
      <c r="N50" s="142">
        <f>Invoerenploeg!$C$2</f>
        <v>50</v>
      </c>
      <c r="O50" s="153" t="s">
        <v>81</v>
      </c>
      <c r="P50" s="154"/>
      <c r="Q50" s="7">
        <f>Invoerenploeg!$K$8</f>
      </c>
    </row>
    <row r="51" spans="2:17" ht="18.75" customHeight="1">
      <c r="B51" s="135">
        <f>Invoerenploeg!$BX$8</f>
        <v>0</v>
      </c>
      <c r="C51" s="135">
        <f>Invoerenploeg!$BV$8</f>
        <v>0</v>
      </c>
      <c r="D51" s="135">
        <f>Invoerenploeg!$BW$8</f>
        <v>0</v>
      </c>
      <c r="F51" s="142"/>
      <c r="G51" s="135"/>
      <c r="H51" s="135"/>
      <c r="I51" s="155">
        <f>Invoerenploeg!$F$8</f>
        <v>0</v>
      </c>
      <c r="K51" s="152"/>
      <c r="L51" s="142"/>
      <c r="M51" s="156" t="s">
        <v>17</v>
      </c>
      <c r="N51" s="142"/>
      <c r="O51" s="142"/>
      <c r="P51" s="143">
        <f>P45+P46</f>
        <v>0</v>
      </c>
      <c r="Q51" s="157"/>
    </row>
    <row r="52" spans="2:17" ht="18.75" customHeight="1">
      <c r="B52" s="135">
        <f>Invoerenploeg!$CA$8</f>
        <v>0</v>
      </c>
      <c r="C52" s="135">
        <f>Invoerenploeg!$BY$8</f>
        <v>0</v>
      </c>
      <c r="D52" s="135">
        <f>Invoerenploeg!$BZ$8</f>
        <v>0</v>
      </c>
      <c r="F52" s="142"/>
      <c r="G52" s="135"/>
      <c r="H52" s="135"/>
      <c r="I52" s="147"/>
      <c r="J52" s="156"/>
      <c r="K52" s="152"/>
      <c r="L52" s="142"/>
      <c r="M52" s="142"/>
      <c r="N52" s="142"/>
      <c r="O52" s="143"/>
      <c r="P52" s="143"/>
      <c r="Q52" s="7"/>
    </row>
    <row r="53" spans="2:17" ht="18.75" customHeight="1">
      <c r="B53" s="135">
        <f>Invoerenploeg!$CD$8</f>
        <v>0</v>
      </c>
      <c r="C53" s="135">
        <f>Invoerenploeg!$CB$8</f>
        <v>0</v>
      </c>
      <c r="D53" s="135">
        <f>Invoerenploeg!$CC$8</f>
        <v>0</v>
      </c>
      <c r="E53" s="135" t="s">
        <v>19</v>
      </c>
      <c r="F53" s="96"/>
      <c r="G53" s="96"/>
      <c r="H53" s="135">
        <f>Invoerenploeg!$CK$8</f>
        <v>0</v>
      </c>
      <c r="I53" s="96"/>
      <c r="J53" s="96"/>
      <c r="K53" s="96"/>
      <c r="L53" s="96"/>
      <c r="M53" s="96"/>
      <c r="N53" s="96"/>
      <c r="O53" s="143"/>
      <c r="P53" s="143"/>
      <c r="Q53" s="7"/>
    </row>
    <row r="54" spans="2:17" ht="18.75" customHeight="1">
      <c r="B54" s="135">
        <f>Invoerenploeg!$CG$8</f>
        <v>0</v>
      </c>
      <c r="C54" s="135">
        <f>Invoerenploeg!$CE$8</f>
        <v>0</v>
      </c>
      <c r="D54" s="135">
        <f>Invoerenploeg!$CF$8</f>
        <v>0</v>
      </c>
      <c r="E54" s="135" t="s">
        <v>20</v>
      </c>
      <c r="F54" s="96"/>
      <c r="G54" s="96"/>
      <c r="H54" s="135">
        <f>Invoerenploeg!$CL$8</f>
        <v>0</v>
      </c>
      <c r="I54" s="96"/>
      <c r="J54" s="96"/>
      <c r="K54" s="96"/>
      <c r="L54" s="96"/>
      <c r="M54" s="96"/>
      <c r="N54" s="96"/>
      <c r="O54" s="143"/>
      <c r="P54" s="143"/>
      <c r="Q54" s="7"/>
    </row>
    <row r="55" spans="2:17" ht="18.75" customHeight="1">
      <c r="B55" s="135">
        <f>Invoerenploeg!$CJ$8</f>
        <v>0</v>
      </c>
      <c r="C55" s="135">
        <f>Invoerenploeg!$CH$8</f>
        <v>0</v>
      </c>
      <c r="D55" s="135">
        <f>Invoerenploeg!$CI$8</f>
        <v>0</v>
      </c>
      <c r="F55" s="142"/>
      <c r="G55" s="135"/>
      <c r="H55" s="135"/>
      <c r="I55" s="147"/>
      <c r="J55" s="156"/>
      <c r="K55" s="152"/>
      <c r="L55" s="142"/>
      <c r="M55" s="142"/>
      <c r="N55" s="142"/>
      <c r="O55" s="143"/>
      <c r="P55" s="143"/>
      <c r="Q55" s="7"/>
    </row>
    <row r="56" ht="3" customHeight="1"/>
    <row r="57" spans="2:17" ht="19.5" customHeight="1">
      <c r="B57" s="155">
        <f>Invoerenploeg!$A$9</f>
        <v>5</v>
      </c>
      <c r="C57" s="161">
        <f>Invoerenploeg!$D$9</f>
        <v>0</v>
      </c>
      <c r="D57" s="125">
        <f>Invoerenploeg!$E$9</f>
        <v>0</v>
      </c>
      <c r="E57" s="268">
        <v>0.3</v>
      </c>
      <c r="F57" s="162"/>
      <c r="G57" s="162"/>
      <c r="H57" s="162"/>
      <c r="I57" s="163"/>
      <c r="J57" s="163"/>
      <c r="K57" s="136"/>
      <c r="L57" s="130" t="s">
        <v>79</v>
      </c>
      <c r="M57" s="164" t="s">
        <v>80</v>
      </c>
      <c r="N57" s="165">
        <f>Invoerenploeg!$C$1</f>
        <v>50</v>
      </c>
      <c r="O57" s="166" t="s">
        <v>81</v>
      </c>
      <c r="P57" s="167">
        <f>ROUND(Invoerenploeg!$DH$9*Invoerenploeg!$C$1/100,4)</f>
        <v>0</v>
      </c>
      <c r="Q57" s="49">
        <f>Invoerenploeg!$DL$9</f>
      </c>
    </row>
    <row r="58" spans="2:17" ht="19.5" customHeight="1">
      <c r="B58" s="135">
        <f>Invoerenploeg!$BI$9</f>
        <v>0</v>
      </c>
      <c r="C58" s="135">
        <f>Invoerenploeg!$BG$9</f>
        <v>0</v>
      </c>
      <c r="D58" s="135">
        <f>Invoerenploeg!$BH$9</f>
        <v>0</v>
      </c>
      <c r="E58" s="126">
        <v>0.4</v>
      </c>
      <c r="F58" s="127"/>
      <c r="G58" s="127"/>
      <c r="H58" s="127"/>
      <c r="I58" s="128"/>
      <c r="J58" s="128"/>
      <c r="K58" s="136"/>
      <c r="L58" s="137" t="s">
        <v>82</v>
      </c>
      <c r="M58" s="138" t="s">
        <v>83</v>
      </c>
      <c r="N58" s="139">
        <f>Invoerenploeg!$C$3</f>
        <v>0</v>
      </c>
      <c r="O58" s="140" t="s">
        <v>81</v>
      </c>
      <c r="P58" s="141">
        <f>ROUND(Invoerenploeg!$H$9*Invoerenploeg!$C$3/100,4)</f>
        <v>0</v>
      </c>
      <c r="Q58" s="7">
        <f>Invoerenploeg!$I$9</f>
      </c>
    </row>
    <row r="59" spans="2:17" ht="19.5" customHeight="1">
      <c r="B59" s="135">
        <f>Invoerenploeg!$BL$9</f>
        <v>0</v>
      </c>
      <c r="C59" s="135">
        <f>Invoerenploeg!$BJ$9</f>
        <v>0</v>
      </c>
      <c r="D59" s="135">
        <f>Invoerenploeg!$BK$9</f>
        <v>0</v>
      </c>
      <c r="E59" s="126">
        <v>0.3</v>
      </c>
      <c r="F59" s="127"/>
      <c r="G59" s="127"/>
      <c r="H59" s="127"/>
      <c r="I59" s="128"/>
      <c r="J59" s="128"/>
      <c r="K59" s="136"/>
      <c r="L59" s="137" t="s">
        <v>84</v>
      </c>
      <c r="M59" s="142"/>
      <c r="N59" s="142"/>
      <c r="O59" s="143"/>
      <c r="P59" s="143"/>
      <c r="Q59" s="7"/>
    </row>
    <row r="60" spans="2:17" ht="19.5" customHeight="1">
      <c r="B60" s="135">
        <f>Invoerenploeg!$BO$9</f>
        <v>0</v>
      </c>
      <c r="C60" s="135">
        <f>Invoerenploeg!$BM$9</f>
        <v>0</v>
      </c>
      <c r="D60" s="135">
        <f>Invoerenploeg!$BN$9</f>
        <v>0</v>
      </c>
      <c r="F60" s="142"/>
      <c r="G60" s="144"/>
      <c r="H60" s="144"/>
      <c r="I60" s="145"/>
      <c r="J60" s="145"/>
      <c r="K60" s="146">
        <f>SUM(K57:K59)</f>
        <v>0</v>
      </c>
      <c r="L60" s="142"/>
      <c r="M60" s="142"/>
      <c r="N60" s="142"/>
      <c r="O60" s="143"/>
      <c r="P60" s="143"/>
      <c r="Q60" s="7"/>
    </row>
    <row r="61" spans="2:17" ht="19.5" customHeight="1">
      <c r="B61" s="135">
        <f>Invoerenploeg!$BR$9</f>
        <v>0</v>
      </c>
      <c r="C61" s="135">
        <f>Invoerenploeg!$BP$9</f>
        <v>0</v>
      </c>
      <c r="D61" s="135">
        <f>Invoerenploeg!$BQ$9</f>
        <v>0</v>
      </c>
      <c r="F61" s="142"/>
      <c r="G61" s="135"/>
      <c r="H61" s="135"/>
      <c r="I61" s="147"/>
      <c r="J61" s="148" t="s">
        <v>85</v>
      </c>
      <c r="K61" s="149"/>
      <c r="L61" s="137" t="s">
        <v>86</v>
      </c>
      <c r="M61" s="142"/>
      <c r="N61" s="142"/>
      <c r="O61" s="143"/>
      <c r="P61" s="143"/>
      <c r="Q61" s="7"/>
    </row>
    <row r="62" spans="2:17" ht="19.5" customHeight="1">
      <c r="B62" s="135">
        <f>Invoerenploeg!$BU$9</f>
        <v>0</v>
      </c>
      <c r="C62" s="135">
        <f>Invoerenploeg!$BS$9</f>
        <v>0</v>
      </c>
      <c r="D62" s="135">
        <f>Invoerenploeg!$BT$9</f>
        <v>0</v>
      </c>
      <c r="F62" s="142"/>
      <c r="G62" s="135"/>
      <c r="H62" s="135"/>
      <c r="I62" s="147"/>
      <c r="K62" s="152"/>
      <c r="L62" s="142"/>
      <c r="M62" s="148" t="s">
        <v>88</v>
      </c>
      <c r="N62" s="142">
        <f>Invoerenploeg!$C$2</f>
        <v>50</v>
      </c>
      <c r="O62" s="153" t="s">
        <v>81</v>
      </c>
      <c r="P62" s="154"/>
      <c r="Q62" s="7">
        <f>Invoerenploeg!$K$9</f>
      </c>
    </row>
    <row r="63" spans="2:17" ht="19.5" customHeight="1">
      <c r="B63" s="135">
        <f>Invoerenploeg!$BX$9</f>
        <v>0</v>
      </c>
      <c r="C63" s="135">
        <f>Invoerenploeg!$BV$9</f>
        <v>0</v>
      </c>
      <c r="D63" s="135">
        <f>Invoerenploeg!$BW$9</f>
        <v>0</v>
      </c>
      <c r="F63" s="142"/>
      <c r="G63" s="135"/>
      <c r="H63" s="135"/>
      <c r="I63" s="155">
        <f>Invoerenploeg!$F$9</f>
        <v>0</v>
      </c>
      <c r="K63" s="152"/>
      <c r="L63" s="142"/>
      <c r="M63" s="156" t="s">
        <v>17</v>
      </c>
      <c r="N63" s="142"/>
      <c r="O63" s="142"/>
      <c r="P63" s="143">
        <f>P57+P58</f>
        <v>0</v>
      </c>
      <c r="Q63" s="157"/>
    </row>
    <row r="64" spans="2:17" ht="19.5" customHeight="1">
      <c r="B64" s="135">
        <f>Invoerenploeg!$CA$9</f>
        <v>0</v>
      </c>
      <c r="C64" s="135">
        <f>Invoerenploeg!$BY$9</f>
        <v>0</v>
      </c>
      <c r="D64" s="135">
        <f>Invoerenploeg!$BZ$9</f>
        <v>0</v>
      </c>
      <c r="F64" s="142"/>
      <c r="G64" s="135"/>
      <c r="H64" s="135"/>
      <c r="I64" s="147"/>
      <c r="J64" s="156"/>
      <c r="K64" s="152"/>
      <c r="L64" s="142"/>
      <c r="M64" s="142"/>
      <c r="N64" s="142"/>
      <c r="O64" s="143"/>
      <c r="P64" s="143"/>
      <c r="Q64" s="7"/>
    </row>
    <row r="65" spans="2:17" ht="19.5" customHeight="1">
      <c r="B65" s="135">
        <f>Invoerenploeg!$CD$9</f>
        <v>0</v>
      </c>
      <c r="C65" s="135">
        <f>Invoerenploeg!$CB$9</f>
        <v>0</v>
      </c>
      <c r="D65" s="135">
        <f>Invoerenploeg!$CC$9</f>
        <v>0</v>
      </c>
      <c r="E65" s="135" t="s">
        <v>19</v>
      </c>
      <c r="F65" s="96"/>
      <c r="G65" s="96"/>
      <c r="H65" s="135">
        <f>Invoerenploeg!$CK$9</f>
        <v>0</v>
      </c>
      <c r="I65" s="96"/>
      <c r="J65" s="96"/>
      <c r="K65" s="96"/>
      <c r="L65" s="96"/>
      <c r="M65" s="96"/>
      <c r="N65" s="96"/>
      <c r="O65" s="143"/>
      <c r="P65" s="143"/>
      <c r="Q65" s="7"/>
    </row>
    <row r="66" spans="2:17" ht="19.5" customHeight="1">
      <c r="B66" s="135">
        <f>Invoerenploeg!$CG$9</f>
        <v>0</v>
      </c>
      <c r="C66" s="135">
        <f>Invoerenploeg!$CE$9</f>
        <v>0</v>
      </c>
      <c r="D66" s="135">
        <f>Invoerenploeg!$CF$9</f>
        <v>0</v>
      </c>
      <c r="E66" s="135" t="s">
        <v>20</v>
      </c>
      <c r="F66" s="96"/>
      <c r="G66" s="96"/>
      <c r="H66" s="135">
        <f>Invoerenploeg!$CL$9</f>
        <v>0</v>
      </c>
      <c r="I66" s="96"/>
      <c r="J66" s="96"/>
      <c r="K66" s="96"/>
      <c r="L66" s="96"/>
      <c r="M66" s="96"/>
      <c r="N66" s="96"/>
      <c r="O66" s="143"/>
      <c r="P66" s="143"/>
      <c r="Q66" s="7"/>
    </row>
    <row r="67" spans="2:17" ht="19.5" customHeight="1">
      <c r="B67" s="135">
        <f>Invoerenploeg!$CJ$9</f>
        <v>0</v>
      </c>
      <c r="C67" s="135">
        <f>Invoerenploeg!$CH$9</f>
        <v>0</v>
      </c>
      <c r="D67" s="135">
        <f>Invoerenploeg!$CI$9</f>
        <v>0</v>
      </c>
      <c r="F67" s="142"/>
      <c r="G67" s="135"/>
      <c r="H67" s="135"/>
      <c r="I67" s="147"/>
      <c r="J67" s="156"/>
      <c r="K67" s="152"/>
      <c r="L67" s="142"/>
      <c r="M67" s="142"/>
      <c r="N67" s="142"/>
      <c r="O67" s="143"/>
      <c r="P67" s="143"/>
      <c r="Q67" s="7"/>
    </row>
    <row r="68" ht="3" customHeight="1"/>
    <row r="69" spans="2:17" ht="19.5" customHeight="1">
      <c r="B69" s="155">
        <f>Invoerenploeg!$A$10</f>
        <v>6</v>
      </c>
      <c r="C69" s="161">
        <f>Invoerenploeg!$D$10</f>
        <v>0</v>
      </c>
      <c r="D69" s="125">
        <f>Invoerenploeg!$E$10</f>
        <v>0</v>
      </c>
      <c r="E69" s="268">
        <v>0.3</v>
      </c>
      <c r="F69" s="162"/>
      <c r="G69" s="162"/>
      <c r="H69" s="162"/>
      <c r="I69" s="163"/>
      <c r="J69" s="163"/>
      <c r="K69" s="136"/>
      <c r="L69" s="130" t="s">
        <v>79</v>
      </c>
      <c r="M69" s="164" t="s">
        <v>80</v>
      </c>
      <c r="N69" s="165">
        <f>Invoerenploeg!$C$1</f>
        <v>50</v>
      </c>
      <c r="O69" s="166" t="s">
        <v>81</v>
      </c>
      <c r="P69" s="167">
        <f>ROUND(Invoerenploeg!$DH$10*Invoerenploeg!$C$1/100,4)</f>
        <v>0</v>
      </c>
      <c r="Q69" s="49">
        <f>Invoerenploeg!$DL$10</f>
      </c>
    </row>
    <row r="70" spans="2:17" ht="19.5" customHeight="1">
      <c r="B70" s="135">
        <f>Invoerenploeg!$BI$10</f>
        <v>0</v>
      </c>
      <c r="C70" s="135">
        <f>Invoerenploeg!$BG$10</f>
        <v>0</v>
      </c>
      <c r="D70" s="135">
        <f>Invoerenploeg!$BH$10</f>
        <v>0</v>
      </c>
      <c r="E70" s="126">
        <v>0.4</v>
      </c>
      <c r="F70" s="127"/>
      <c r="G70" s="127"/>
      <c r="H70" s="127"/>
      <c r="I70" s="128"/>
      <c r="J70" s="128"/>
      <c r="K70" s="136"/>
      <c r="L70" s="137" t="s">
        <v>82</v>
      </c>
      <c r="M70" s="138" t="s">
        <v>83</v>
      </c>
      <c r="N70" s="139">
        <f>Invoerenploeg!$C$3</f>
        <v>0</v>
      </c>
      <c r="O70" s="140" t="s">
        <v>81</v>
      </c>
      <c r="P70" s="141">
        <f>ROUND(Invoerenploeg!$H$10*Invoerenploeg!$C$3/100,4)</f>
        <v>0</v>
      </c>
      <c r="Q70" s="7">
        <f>Invoerenploeg!$I$10</f>
      </c>
    </row>
    <row r="71" spans="2:17" ht="19.5" customHeight="1">
      <c r="B71" s="135">
        <f>Invoerenploeg!$BL$10</f>
        <v>0</v>
      </c>
      <c r="C71" s="135">
        <f>Invoerenploeg!$BJ$10</f>
        <v>0</v>
      </c>
      <c r="D71" s="135">
        <f>Invoerenploeg!$BK$10</f>
        <v>0</v>
      </c>
      <c r="E71" s="126">
        <v>0.3</v>
      </c>
      <c r="F71" s="127"/>
      <c r="G71" s="127"/>
      <c r="H71" s="127"/>
      <c r="I71" s="128"/>
      <c r="J71" s="128"/>
      <c r="K71" s="136"/>
      <c r="L71" s="137" t="s">
        <v>84</v>
      </c>
      <c r="M71" s="142"/>
      <c r="N71" s="142"/>
      <c r="O71" s="143"/>
      <c r="P71" s="143"/>
      <c r="Q71" s="7"/>
    </row>
    <row r="72" spans="2:17" ht="19.5" customHeight="1">
      <c r="B72" s="135">
        <f>Invoerenploeg!$BO$10</f>
        <v>0</v>
      </c>
      <c r="C72" s="135">
        <f>Invoerenploeg!$BM$10</f>
        <v>0</v>
      </c>
      <c r="D72" s="135">
        <f>Invoerenploeg!$BN$10</f>
        <v>0</v>
      </c>
      <c r="F72" s="142"/>
      <c r="G72" s="144"/>
      <c r="H72" s="144"/>
      <c r="I72" s="145"/>
      <c r="J72" s="145"/>
      <c r="K72" s="146">
        <f>SUM(K69:K71)</f>
        <v>0</v>
      </c>
      <c r="L72" s="142"/>
      <c r="M72" s="142"/>
      <c r="N72" s="142"/>
      <c r="O72" s="143"/>
      <c r="P72" s="143"/>
      <c r="Q72" s="7"/>
    </row>
    <row r="73" spans="2:17" ht="19.5" customHeight="1">
      <c r="B73" s="135">
        <f>Invoerenploeg!$BR$10</f>
        <v>0</v>
      </c>
      <c r="C73" s="135">
        <f>Invoerenploeg!$BP$10</f>
        <v>0</v>
      </c>
      <c r="D73" s="135">
        <f>Invoerenploeg!$BQ$10</f>
        <v>0</v>
      </c>
      <c r="F73" s="142"/>
      <c r="G73" s="135"/>
      <c r="H73" s="135"/>
      <c r="I73" s="147"/>
      <c r="J73" s="148" t="s">
        <v>85</v>
      </c>
      <c r="K73" s="149"/>
      <c r="L73" s="137" t="s">
        <v>86</v>
      </c>
      <c r="M73" s="142"/>
      <c r="N73" s="142"/>
      <c r="O73" s="143"/>
      <c r="P73" s="143"/>
      <c r="Q73" s="7"/>
    </row>
    <row r="74" spans="2:17" ht="19.5" customHeight="1">
      <c r="B74" s="135">
        <f>Invoerenploeg!$BU$10</f>
        <v>0</v>
      </c>
      <c r="C74" s="135">
        <f>Invoerenploeg!$BS$10</f>
        <v>0</v>
      </c>
      <c r="D74" s="135">
        <f>Invoerenploeg!$BT$10</f>
        <v>0</v>
      </c>
      <c r="F74" s="142"/>
      <c r="G74" s="135"/>
      <c r="H74" s="135"/>
      <c r="I74" s="147"/>
      <c r="K74" s="152"/>
      <c r="L74" s="142"/>
      <c r="M74" s="148" t="s">
        <v>88</v>
      </c>
      <c r="N74" s="142">
        <f>Invoerenploeg!$C$2</f>
        <v>50</v>
      </c>
      <c r="O74" s="153" t="s">
        <v>81</v>
      </c>
      <c r="P74" s="154"/>
      <c r="Q74" s="7">
        <f>Invoerenploeg!$K$10</f>
      </c>
    </row>
    <row r="75" spans="2:17" ht="19.5" customHeight="1">
      <c r="B75" s="135">
        <f>Invoerenploeg!$BX$10</f>
        <v>0</v>
      </c>
      <c r="C75" s="135">
        <f>Invoerenploeg!$BV$10</f>
        <v>0</v>
      </c>
      <c r="D75" s="135">
        <f>Invoerenploeg!$BW$10</f>
        <v>0</v>
      </c>
      <c r="F75" s="142"/>
      <c r="G75" s="135"/>
      <c r="H75" s="135"/>
      <c r="I75" s="155">
        <f>Invoerenploeg!$F$10</f>
        <v>0</v>
      </c>
      <c r="K75" s="152"/>
      <c r="L75" s="142"/>
      <c r="M75" s="156" t="s">
        <v>17</v>
      </c>
      <c r="N75" s="142"/>
      <c r="O75" s="142"/>
      <c r="P75" s="143">
        <f>P69+P70</f>
        <v>0</v>
      </c>
      <c r="Q75" s="157"/>
    </row>
    <row r="76" spans="2:17" ht="19.5" customHeight="1">
      <c r="B76" s="135">
        <f>Invoerenploeg!$CA$10</f>
        <v>0</v>
      </c>
      <c r="C76" s="135">
        <f>Invoerenploeg!$BY$10</f>
        <v>0</v>
      </c>
      <c r="D76" s="135">
        <f>Invoerenploeg!$BZ$10</f>
        <v>0</v>
      </c>
      <c r="F76" s="142"/>
      <c r="G76" s="135"/>
      <c r="H76" s="135"/>
      <c r="I76" s="147"/>
      <c r="J76" s="156"/>
      <c r="K76" s="152"/>
      <c r="L76" s="142"/>
      <c r="M76" s="142"/>
      <c r="N76" s="142"/>
      <c r="O76" s="143"/>
      <c r="P76" s="143"/>
      <c r="Q76" s="7"/>
    </row>
    <row r="77" spans="2:17" ht="19.5" customHeight="1">
      <c r="B77" s="135">
        <f>Invoerenploeg!$CD$10</f>
        <v>0</v>
      </c>
      <c r="C77" s="135">
        <f>Invoerenploeg!$CB$10</f>
        <v>0</v>
      </c>
      <c r="D77" s="135">
        <f>Invoerenploeg!$CC$10</f>
        <v>0</v>
      </c>
      <c r="E77" s="135" t="s">
        <v>19</v>
      </c>
      <c r="F77" s="96"/>
      <c r="G77" s="96"/>
      <c r="H77" s="135">
        <f>Invoerenploeg!$CK$10</f>
        <v>0</v>
      </c>
      <c r="I77" s="96"/>
      <c r="J77" s="96"/>
      <c r="K77" s="96"/>
      <c r="L77" s="96"/>
      <c r="M77" s="96"/>
      <c r="N77" s="96"/>
      <c r="O77" s="143"/>
      <c r="P77" s="143"/>
      <c r="Q77" s="7"/>
    </row>
    <row r="78" spans="2:17" ht="19.5" customHeight="1">
      <c r="B78" s="135">
        <f>Invoerenploeg!$CG$10</f>
        <v>0</v>
      </c>
      <c r="C78" s="135">
        <f>Invoerenploeg!$CE$10</f>
        <v>0</v>
      </c>
      <c r="D78" s="135">
        <f>Invoerenploeg!$CF$10</f>
        <v>0</v>
      </c>
      <c r="E78" s="135" t="s">
        <v>20</v>
      </c>
      <c r="F78" s="96"/>
      <c r="G78" s="96"/>
      <c r="H78" s="135">
        <f>Invoerenploeg!$CL$10</f>
        <v>0</v>
      </c>
      <c r="I78" s="96"/>
      <c r="J78" s="96"/>
      <c r="K78" s="96"/>
      <c r="L78" s="96"/>
      <c r="M78" s="96"/>
      <c r="N78" s="96"/>
      <c r="O78" s="143"/>
      <c r="P78" s="143"/>
      <c r="Q78" s="7"/>
    </row>
    <row r="79" spans="2:17" ht="19.5" customHeight="1">
      <c r="B79" s="135">
        <f>Invoerenploeg!$CJ$10</f>
        <v>0</v>
      </c>
      <c r="C79" s="135">
        <f>Invoerenploeg!$CH$10</f>
        <v>0</v>
      </c>
      <c r="D79" s="135">
        <f>Invoerenploeg!$CI$10</f>
        <v>0</v>
      </c>
      <c r="F79" s="142"/>
      <c r="G79" s="135"/>
      <c r="H79" s="135"/>
      <c r="I79" s="147"/>
      <c r="J79" s="156"/>
      <c r="K79" s="152"/>
      <c r="L79" s="142"/>
      <c r="M79" s="142"/>
      <c r="N79" s="142"/>
      <c r="O79" s="143"/>
      <c r="P79" s="143"/>
      <c r="Q79" s="7"/>
    </row>
    <row r="80" ht="3" customHeight="1"/>
    <row r="81" spans="2:17" ht="19.5" customHeight="1">
      <c r="B81" s="155">
        <f>Invoerenploeg!$A$11</f>
        <v>7</v>
      </c>
      <c r="C81" s="161">
        <f>Invoerenploeg!$D$11</f>
        <v>0</v>
      </c>
      <c r="D81" s="125">
        <f>Invoerenploeg!$E$11</f>
        <v>0</v>
      </c>
      <c r="E81" s="268">
        <v>0.3</v>
      </c>
      <c r="F81" s="162"/>
      <c r="G81" s="162"/>
      <c r="H81" s="162"/>
      <c r="I81" s="163"/>
      <c r="J81" s="163"/>
      <c r="K81" s="136"/>
      <c r="L81" s="130" t="s">
        <v>79</v>
      </c>
      <c r="M81" s="164" t="s">
        <v>80</v>
      </c>
      <c r="N81" s="165">
        <f>Invoerenploeg!$C$1</f>
        <v>50</v>
      </c>
      <c r="O81" s="166" t="s">
        <v>81</v>
      </c>
      <c r="P81" s="167">
        <f>ROUND(Invoerenploeg!$DH$11*Invoerenploeg!$C$1/100,4)</f>
        <v>0</v>
      </c>
      <c r="Q81" s="49">
        <f>Invoerenploeg!$DL$11</f>
      </c>
    </row>
    <row r="82" spans="2:17" ht="19.5" customHeight="1">
      <c r="B82" s="135">
        <f>Invoerenploeg!$BI$11</f>
        <v>0</v>
      </c>
      <c r="C82" s="135">
        <f>Invoerenploeg!$BG$11</f>
        <v>0</v>
      </c>
      <c r="D82" s="135">
        <f>Invoerenploeg!$BH$11</f>
        <v>0</v>
      </c>
      <c r="E82" s="126">
        <v>0.4</v>
      </c>
      <c r="F82" s="127"/>
      <c r="G82" s="127"/>
      <c r="H82" s="127"/>
      <c r="I82" s="128"/>
      <c r="J82" s="128"/>
      <c r="K82" s="136"/>
      <c r="L82" s="137" t="s">
        <v>82</v>
      </c>
      <c r="M82" s="138" t="s">
        <v>83</v>
      </c>
      <c r="N82" s="139">
        <f>Invoerenploeg!$C$3</f>
        <v>0</v>
      </c>
      <c r="O82" s="140" t="s">
        <v>81</v>
      </c>
      <c r="P82" s="141">
        <f>ROUND(Invoerenploeg!$H$11*Invoerenploeg!$C$3/100,4)</f>
        <v>0</v>
      </c>
      <c r="Q82" s="7">
        <f>Invoerenploeg!$I$11</f>
      </c>
    </row>
    <row r="83" spans="2:17" ht="19.5" customHeight="1">
      <c r="B83" s="135">
        <f>Invoerenploeg!$BL$11</f>
        <v>0</v>
      </c>
      <c r="C83" s="135">
        <f>Invoerenploeg!$BJ$11</f>
        <v>0</v>
      </c>
      <c r="D83" s="135">
        <f>Invoerenploeg!$BK$11</f>
        <v>0</v>
      </c>
      <c r="E83" s="126">
        <v>0.3</v>
      </c>
      <c r="F83" s="127"/>
      <c r="G83" s="127"/>
      <c r="H83" s="127"/>
      <c r="I83" s="128"/>
      <c r="J83" s="128"/>
      <c r="K83" s="136"/>
      <c r="L83" s="137" t="s">
        <v>84</v>
      </c>
      <c r="M83" s="142"/>
      <c r="N83" s="142"/>
      <c r="O83" s="143"/>
      <c r="P83" s="143"/>
      <c r="Q83" s="7"/>
    </row>
    <row r="84" spans="2:17" ht="19.5" customHeight="1">
      <c r="B84" s="135">
        <f>Invoerenploeg!$BO$11</f>
        <v>0</v>
      </c>
      <c r="C84" s="135">
        <f>Invoerenploeg!$BM$11</f>
        <v>0</v>
      </c>
      <c r="D84" s="135">
        <f>Invoerenploeg!$BN$11</f>
        <v>0</v>
      </c>
      <c r="F84" s="142"/>
      <c r="G84" s="144"/>
      <c r="H84" s="144"/>
      <c r="I84" s="145"/>
      <c r="J84" s="145"/>
      <c r="K84" s="146">
        <f>SUM(K81:K83)</f>
        <v>0</v>
      </c>
      <c r="L84" s="142"/>
      <c r="M84" s="142"/>
      <c r="N84" s="142"/>
      <c r="O84" s="143"/>
      <c r="P84" s="143"/>
      <c r="Q84" s="7"/>
    </row>
    <row r="85" spans="2:17" ht="19.5" customHeight="1">
      <c r="B85" s="135">
        <f>Invoerenploeg!$BR$11</f>
        <v>0</v>
      </c>
      <c r="C85" s="135">
        <f>Invoerenploeg!$BP$11</f>
        <v>0</v>
      </c>
      <c r="D85" s="135">
        <f>Invoerenploeg!$BQ$11</f>
        <v>0</v>
      </c>
      <c r="F85" s="142"/>
      <c r="G85" s="135"/>
      <c r="H85" s="135"/>
      <c r="I85" s="147"/>
      <c r="J85" s="148" t="s">
        <v>85</v>
      </c>
      <c r="K85" s="149"/>
      <c r="L85" s="137" t="s">
        <v>86</v>
      </c>
      <c r="M85" s="142"/>
      <c r="N85" s="142"/>
      <c r="O85" s="143"/>
      <c r="P85" s="143"/>
      <c r="Q85" s="7"/>
    </row>
    <row r="86" spans="2:17" ht="19.5" customHeight="1">
      <c r="B86" s="135">
        <f>Invoerenploeg!$BU$11</f>
        <v>0</v>
      </c>
      <c r="C86" s="135">
        <f>Invoerenploeg!$BS$11</f>
        <v>0</v>
      </c>
      <c r="D86" s="135">
        <f>Invoerenploeg!$BT$11</f>
        <v>0</v>
      </c>
      <c r="F86" s="142"/>
      <c r="G86" s="135"/>
      <c r="H86" s="135"/>
      <c r="I86" s="147"/>
      <c r="K86" s="152"/>
      <c r="L86" s="142"/>
      <c r="M86" s="148" t="s">
        <v>88</v>
      </c>
      <c r="N86" s="142">
        <f>Invoerenploeg!$C$2</f>
        <v>50</v>
      </c>
      <c r="O86" s="153" t="s">
        <v>81</v>
      </c>
      <c r="P86" s="154"/>
      <c r="Q86" s="7">
        <f>Invoerenploeg!$K$11</f>
      </c>
    </row>
    <row r="87" spans="2:17" ht="19.5" customHeight="1">
      <c r="B87" s="135">
        <f>Invoerenploeg!$BX$11</f>
        <v>0</v>
      </c>
      <c r="C87" s="135">
        <f>Invoerenploeg!$BV$11</f>
        <v>0</v>
      </c>
      <c r="D87" s="135">
        <f>Invoerenploeg!$BW$11</f>
        <v>0</v>
      </c>
      <c r="F87" s="142"/>
      <c r="G87" s="135"/>
      <c r="H87" s="135"/>
      <c r="I87" s="155">
        <f>Invoerenploeg!$F$11</f>
        <v>0</v>
      </c>
      <c r="K87" s="152"/>
      <c r="L87" s="142"/>
      <c r="M87" s="156" t="s">
        <v>17</v>
      </c>
      <c r="N87" s="142"/>
      <c r="O87" s="142"/>
      <c r="P87" s="143">
        <f>P81+P82</f>
        <v>0</v>
      </c>
      <c r="Q87" s="157"/>
    </row>
    <row r="88" spans="2:17" ht="19.5" customHeight="1">
      <c r="B88" s="135">
        <f>Invoerenploeg!$CA$11</f>
        <v>0</v>
      </c>
      <c r="C88" s="135">
        <f>Invoerenploeg!$BY$11</f>
        <v>0</v>
      </c>
      <c r="D88" s="135">
        <f>Invoerenploeg!$BZ$11</f>
        <v>0</v>
      </c>
      <c r="F88" s="142"/>
      <c r="G88" s="135"/>
      <c r="H88" s="135"/>
      <c r="I88" s="147"/>
      <c r="J88" s="156"/>
      <c r="K88" s="152"/>
      <c r="L88" s="142"/>
      <c r="M88" s="142"/>
      <c r="N88" s="142"/>
      <c r="O88" s="143"/>
      <c r="P88" s="143"/>
      <c r="Q88" s="7"/>
    </row>
    <row r="89" spans="2:17" ht="19.5" customHeight="1">
      <c r="B89" s="135">
        <f>Invoerenploeg!$CD$11</f>
        <v>0</v>
      </c>
      <c r="C89" s="135">
        <f>Invoerenploeg!$CB$11</f>
        <v>0</v>
      </c>
      <c r="D89" s="135">
        <f>Invoerenploeg!$CC$11</f>
        <v>0</v>
      </c>
      <c r="E89" s="135" t="s">
        <v>19</v>
      </c>
      <c r="F89" s="96"/>
      <c r="G89" s="96"/>
      <c r="H89" s="135">
        <f>Invoerenploeg!$CK$11</f>
        <v>0</v>
      </c>
      <c r="I89" s="96"/>
      <c r="J89" s="96"/>
      <c r="K89" s="96"/>
      <c r="L89" s="96"/>
      <c r="M89" s="96"/>
      <c r="N89" s="96"/>
      <c r="O89" s="143"/>
      <c r="P89" s="143"/>
      <c r="Q89" s="7"/>
    </row>
    <row r="90" spans="2:17" ht="19.5" customHeight="1">
      <c r="B90" s="135">
        <f>Invoerenploeg!$CG$11</f>
        <v>0</v>
      </c>
      <c r="C90" s="135">
        <f>Invoerenploeg!$CE$11</f>
        <v>0</v>
      </c>
      <c r="D90" s="135">
        <f>Invoerenploeg!$CF$11</f>
        <v>0</v>
      </c>
      <c r="E90" s="135" t="s">
        <v>20</v>
      </c>
      <c r="F90" s="96"/>
      <c r="G90" s="96"/>
      <c r="H90" s="135">
        <f>Invoerenploeg!$CL$11</f>
        <v>0</v>
      </c>
      <c r="I90" s="96"/>
      <c r="J90" s="96"/>
      <c r="K90" s="96"/>
      <c r="L90" s="96"/>
      <c r="M90" s="96"/>
      <c r="N90" s="96"/>
      <c r="O90" s="143"/>
      <c r="P90" s="143"/>
      <c r="Q90" s="7"/>
    </row>
    <row r="91" spans="2:17" ht="19.5" customHeight="1">
      <c r="B91" s="135">
        <f>Invoerenploeg!$CJ$11</f>
        <v>0</v>
      </c>
      <c r="C91" s="135">
        <f>Invoerenploeg!$CH$11</f>
        <v>0</v>
      </c>
      <c r="D91" s="135">
        <f>Invoerenploeg!$CI$11</f>
        <v>0</v>
      </c>
      <c r="F91" s="142"/>
      <c r="G91" s="135"/>
      <c r="H91" s="135"/>
      <c r="I91" s="147"/>
      <c r="J91" s="156"/>
      <c r="K91" s="152"/>
      <c r="L91" s="142"/>
      <c r="M91" s="142"/>
      <c r="N91" s="142"/>
      <c r="O91" s="143"/>
      <c r="P91" s="143"/>
      <c r="Q91" s="7"/>
    </row>
    <row r="92" ht="3" customHeight="1"/>
    <row r="93" spans="2:17" ht="19.5" customHeight="1">
      <c r="B93" s="155">
        <f>Invoerenploeg!$A$12</f>
        <v>8</v>
      </c>
      <c r="C93" s="161">
        <f>Invoerenploeg!$D$12</f>
        <v>0</v>
      </c>
      <c r="D93" s="125">
        <f>Invoerenploeg!$E$12</f>
        <v>0</v>
      </c>
      <c r="E93" s="268">
        <v>0.3</v>
      </c>
      <c r="F93" s="162"/>
      <c r="G93" s="162"/>
      <c r="H93" s="162"/>
      <c r="I93" s="163"/>
      <c r="J93" s="163"/>
      <c r="K93" s="136"/>
      <c r="L93" s="130" t="s">
        <v>79</v>
      </c>
      <c r="M93" s="164" t="s">
        <v>80</v>
      </c>
      <c r="N93" s="165">
        <f>Invoerenploeg!$C$1</f>
        <v>50</v>
      </c>
      <c r="O93" s="166" t="s">
        <v>81</v>
      </c>
      <c r="P93" s="167">
        <f>ROUND(Invoerenploeg!$DH$12*Invoerenploeg!$C$1/100,4)</f>
        <v>0</v>
      </c>
      <c r="Q93" s="49">
        <f>Invoerenploeg!$DL$12</f>
      </c>
    </row>
    <row r="94" spans="2:17" ht="19.5" customHeight="1">
      <c r="B94" s="135">
        <f>Invoerenploeg!$BI$12</f>
        <v>0</v>
      </c>
      <c r="C94" s="135">
        <f>Invoerenploeg!$BG$12</f>
        <v>0</v>
      </c>
      <c r="D94" s="135">
        <f>Invoerenploeg!$BH$12</f>
        <v>0</v>
      </c>
      <c r="E94" s="126">
        <v>0.4</v>
      </c>
      <c r="F94" s="127"/>
      <c r="G94" s="127"/>
      <c r="H94" s="127"/>
      <c r="I94" s="128"/>
      <c r="J94" s="128"/>
      <c r="K94" s="136"/>
      <c r="L94" s="137" t="s">
        <v>82</v>
      </c>
      <c r="M94" s="138" t="s">
        <v>83</v>
      </c>
      <c r="N94" s="139">
        <f>Invoerenploeg!$C$3</f>
        <v>0</v>
      </c>
      <c r="O94" s="140" t="s">
        <v>81</v>
      </c>
      <c r="P94" s="141">
        <f>ROUND(Invoerenploeg!$H$12*Invoerenploeg!$C$3/100,4)</f>
        <v>0</v>
      </c>
      <c r="Q94" s="7">
        <f>Invoerenploeg!$I$12</f>
      </c>
    </row>
    <row r="95" spans="2:17" ht="19.5" customHeight="1">
      <c r="B95" s="135">
        <f>Invoerenploeg!$BL$12</f>
        <v>0</v>
      </c>
      <c r="C95" s="135">
        <f>Invoerenploeg!$BJ$12</f>
        <v>0</v>
      </c>
      <c r="D95" s="135">
        <f>Invoerenploeg!$BK$12</f>
        <v>0</v>
      </c>
      <c r="E95" s="126">
        <v>0.3</v>
      </c>
      <c r="F95" s="127"/>
      <c r="G95" s="127"/>
      <c r="H95" s="127"/>
      <c r="I95" s="128"/>
      <c r="J95" s="128"/>
      <c r="K95" s="136"/>
      <c r="L95" s="137" t="s">
        <v>84</v>
      </c>
      <c r="M95" s="142"/>
      <c r="N95" s="142"/>
      <c r="O95" s="143"/>
      <c r="P95" s="143"/>
      <c r="Q95" s="7"/>
    </row>
    <row r="96" spans="2:17" ht="19.5" customHeight="1">
      <c r="B96" s="135">
        <f>Invoerenploeg!$BO$12</f>
        <v>0</v>
      </c>
      <c r="C96" s="135">
        <f>Invoerenploeg!$BM$12</f>
        <v>0</v>
      </c>
      <c r="D96" s="135">
        <f>Invoerenploeg!$BN$12</f>
        <v>0</v>
      </c>
      <c r="F96" s="142"/>
      <c r="G96" s="144"/>
      <c r="H96" s="144"/>
      <c r="I96" s="145"/>
      <c r="J96" s="145"/>
      <c r="K96" s="146">
        <f>SUM(K93:K95)</f>
        <v>0</v>
      </c>
      <c r="L96" s="142"/>
      <c r="M96" s="142"/>
      <c r="N96" s="142"/>
      <c r="O96" s="143"/>
      <c r="P96" s="143"/>
      <c r="Q96" s="7"/>
    </row>
    <row r="97" spans="2:17" ht="19.5" customHeight="1">
      <c r="B97" s="135">
        <f>Invoerenploeg!$BR$12</f>
        <v>0</v>
      </c>
      <c r="C97" s="135">
        <f>Invoerenploeg!$BP$12</f>
        <v>0</v>
      </c>
      <c r="D97" s="135">
        <f>Invoerenploeg!$BQ$12</f>
        <v>0</v>
      </c>
      <c r="F97" s="142"/>
      <c r="G97" s="135"/>
      <c r="H97" s="135"/>
      <c r="I97" s="147"/>
      <c r="J97" s="148" t="s">
        <v>85</v>
      </c>
      <c r="K97" s="149"/>
      <c r="L97" s="137" t="s">
        <v>86</v>
      </c>
      <c r="M97" s="142"/>
      <c r="N97" s="142"/>
      <c r="O97" s="143"/>
      <c r="P97" s="143"/>
      <c r="Q97" s="7"/>
    </row>
    <row r="98" spans="2:17" ht="19.5" customHeight="1">
      <c r="B98" s="135">
        <f>Invoerenploeg!$BU$12</f>
        <v>0</v>
      </c>
      <c r="C98" s="135">
        <f>Invoerenploeg!$BS$12</f>
        <v>0</v>
      </c>
      <c r="D98" s="135">
        <f>Invoerenploeg!$BT$12</f>
        <v>0</v>
      </c>
      <c r="F98" s="142"/>
      <c r="G98" s="135"/>
      <c r="H98" s="135"/>
      <c r="I98" s="147"/>
      <c r="K98" s="152"/>
      <c r="L98" s="142"/>
      <c r="M98" s="148" t="s">
        <v>88</v>
      </c>
      <c r="N98" s="142">
        <f>Invoerenploeg!$C$2</f>
        <v>50</v>
      </c>
      <c r="O98" s="153" t="s">
        <v>81</v>
      </c>
      <c r="P98" s="154"/>
      <c r="Q98" s="7">
        <f>Invoerenploeg!$K$12</f>
      </c>
    </row>
    <row r="99" spans="2:17" ht="19.5" customHeight="1">
      <c r="B99" s="135">
        <f>Invoerenploeg!$BX$12</f>
        <v>0</v>
      </c>
      <c r="C99" s="135">
        <f>Invoerenploeg!$BV$12</f>
        <v>0</v>
      </c>
      <c r="D99" s="135">
        <f>Invoerenploeg!$BW$12</f>
        <v>0</v>
      </c>
      <c r="F99" s="142"/>
      <c r="G99" s="135"/>
      <c r="H99" s="135"/>
      <c r="I99" s="155">
        <f>Invoerenploeg!$F$12</f>
        <v>0</v>
      </c>
      <c r="K99" s="152"/>
      <c r="L99" s="142"/>
      <c r="M99" s="156" t="s">
        <v>17</v>
      </c>
      <c r="N99" s="142"/>
      <c r="O99" s="142"/>
      <c r="P99" s="143">
        <f>P93+P94</f>
        <v>0</v>
      </c>
      <c r="Q99" s="157"/>
    </row>
    <row r="100" spans="2:17" ht="19.5" customHeight="1">
      <c r="B100" s="135">
        <f>Invoerenploeg!$CA$12</f>
        <v>0</v>
      </c>
      <c r="C100" s="135">
        <f>Invoerenploeg!$BY$12</f>
        <v>0</v>
      </c>
      <c r="D100" s="135">
        <f>Invoerenploeg!$BZ$12</f>
        <v>0</v>
      </c>
      <c r="F100" s="142"/>
      <c r="G100" s="135"/>
      <c r="H100" s="135"/>
      <c r="I100" s="147"/>
      <c r="J100" s="156"/>
      <c r="K100" s="152"/>
      <c r="L100" s="142"/>
      <c r="M100" s="142"/>
      <c r="N100" s="142"/>
      <c r="O100" s="143"/>
      <c r="P100" s="143"/>
      <c r="Q100" s="7"/>
    </row>
    <row r="101" spans="2:17" ht="19.5" customHeight="1">
      <c r="B101" s="135">
        <f>Invoerenploeg!$CD$12</f>
        <v>0</v>
      </c>
      <c r="C101" s="135">
        <f>Invoerenploeg!$CB$12</f>
        <v>0</v>
      </c>
      <c r="D101" s="135">
        <f>Invoerenploeg!$CC$12</f>
        <v>0</v>
      </c>
      <c r="E101" s="135" t="s">
        <v>19</v>
      </c>
      <c r="F101" s="96"/>
      <c r="G101" s="96"/>
      <c r="H101" s="135">
        <f>Invoerenploeg!$CK$12</f>
        <v>0</v>
      </c>
      <c r="I101" s="96"/>
      <c r="J101" s="96"/>
      <c r="K101" s="96"/>
      <c r="L101" s="96"/>
      <c r="M101" s="96"/>
      <c r="N101" s="96"/>
      <c r="O101" s="143"/>
      <c r="P101" s="143"/>
      <c r="Q101" s="7"/>
    </row>
    <row r="102" spans="2:17" ht="19.5" customHeight="1">
      <c r="B102" s="135">
        <f>Invoerenploeg!$CG$12</f>
        <v>0</v>
      </c>
      <c r="C102" s="135">
        <f>Invoerenploeg!$CE$12</f>
        <v>0</v>
      </c>
      <c r="D102" s="135">
        <f>Invoerenploeg!$CF$12</f>
        <v>0</v>
      </c>
      <c r="E102" s="135" t="s">
        <v>20</v>
      </c>
      <c r="F102" s="96"/>
      <c r="G102" s="96"/>
      <c r="H102" s="135">
        <f>Invoerenploeg!$CL$12</f>
        <v>0</v>
      </c>
      <c r="I102" s="96"/>
      <c r="J102" s="96"/>
      <c r="K102" s="96"/>
      <c r="L102" s="96"/>
      <c r="M102" s="96"/>
      <c r="N102" s="96"/>
      <c r="O102" s="143"/>
      <c r="P102" s="143"/>
      <c r="Q102" s="7"/>
    </row>
    <row r="103" spans="2:17" ht="19.5" customHeight="1">
      <c r="B103" s="135">
        <f>Invoerenploeg!$CJ$12</f>
        <v>0</v>
      </c>
      <c r="C103" s="135">
        <f>Invoerenploeg!$CH$12</f>
        <v>0</v>
      </c>
      <c r="D103" s="135">
        <f>Invoerenploeg!$CI$12</f>
        <v>0</v>
      </c>
      <c r="F103" s="142"/>
      <c r="G103" s="135"/>
      <c r="H103" s="135"/>
      <c r="I103" s="147"/>
      <c r="J103" s="156"/>
      <c r="K103" s="152"/>
      <c r="L103" s="142"/>
      <c r="M103" s="142"/>
      <c r="N103" s="142"/>
      <c r="O103" s="143"/>
      <c r="P103" s="143"/>
      <c r="Q103" s="7"/>
    </row>
    <row r="104" ht="3" customHeight="1"/>
    <row r="105" spans="2:17" ht="19.5" customHeight="1">
      <c r="B105" s="155">
        <f>Invoerenploeg!$A$13</f>
        <v>9</v>
      </c>
      <c r="C105" s="161">
        <f>Invoerenploeg!$D$13</f>
        <v>0</v>
      </c>
      <c r="D105" s="125">
        <f>Invoerenploeg!$E$13</f>
        <v>0</v>
      </c>
      <c r="E105" s="268">
        <v>0.3</v>
      </c>
      <c r="F105" s="162"/>
      <c r="G105" s="162"/>
      <c r="H105" s="162"/>
      <c r="I105" s="163"/>
      <c r="J105" s="163"/>
      <c r="K105" s="136"/>
      <c r="L105" s="130" t="s">
        <v>79</v>
      </c>
      <c r="M105" s="164" t="s">
        <v>80</v>
      </c>
      <c r="N105" s="165">
        <f>Invoerenploeg!$C$1</f>
        <v>50</v>
      </c>
      <c r="O105" s="166" t="s">
        <v>81</v>
      </c>
      <c r="P105" s="167">
        <f>ROUND(Invoerenploeg!$DH$13*Invoerenploeg!$C$1/100,4)</f>
        <v>0</v>
      </c>
      <c r="Q105" s="49">
        <f>Invoerenploeg!$DL$13</f>
      </c>
    </row>
    <row r="106" spans="2:17" ht="19.5" customHeight="1">
      <c r="B106" s="135">
        <f>Invoerenploeg!$BI$13</f>
        <v>0</v>
      </c>
      <c r="C106" s="135">
        <f>Invoerenploeg!$BG$13</f>
        <v>0</v>
      </c>
      <c r="D106" s="135">
        <f>Invoerenploeg!$BH$13</f>
        <v>0</v>
      </c>
      <c r="E106" s="126">
        <v>0.4</v>
      </c>
      <c r="F106" s="127"/>
      <c r="G106" s="127"/>
      <c r="H106" s="127"/>
      <c r="I106" s="128"/>
      <c r="J106" s="128"/>
      <c r="K106" s="136"/>
      <c r="L106" s="137" t="s">
        <v>82</v>
      </c>
      <c r="M106" s="138" t="s">
        <v>83</v>
      </c>
      <c r="N106" s="139">
        <f>Invoerenploeg!$C$3</f>
        <v>0</v>
      </c>
      <c r="O106" s="140" t="s">
        <v>81</v>
      </c>
      <c r="P106" s="141">
        <f>ROUND(Invoerenploeg!$H$13*Invoerenploeg!$C$3/100,4)</f>
        <v>0</v>
      </c>
      <c r="Q106" s="7">
        <f>Invoerenploeg!$I$13</f>
      </c>
    </row>
    <row r="107" spans="2:17" ht="19.5" customHeight="1">
      <c r="B107" s="135">
        <f>Invoerenploeg!$BL$13</f>
        <v>0</v>
      </c>
      <c r="C107" s="135">
        <f>Invoerenploeg!$BJ$13</f>
        <v>0</v>
      </c>
      <c r="D107" s="135">
        <f>Invoerenploeg!$BK$13</f>
        <v>0</v>
      </c>
      <c r="E107" s="126">
        <v>0.3</v>
      </c>
      <c r="F107" s="127"/>
      <c r="G107" s="127"/>
      <c r="H107" s="127"/>
      <c r="I107" s="128"/>
      <c r="J107" s="128"/>
      <c r="K107" s="136"/>
      <c r="L107" s="137" t="s">
        <v>84</v>
      </c>
      <c r="M107" s="142"/>
      <c r="N107" s="142"/>
      <c r="O107" s="143"/>
      <c r="P107" s="143"/>
      <c r="Q107" s="7"/>
    </row>
    <row r="108" spans="2:17" ht="19.5" customHeight="1">
      <c r="B108" s="135">
        <f>Invoerenploeg!$BO$13</f>
        <v>0</v>
      </c>
      <c r="C108" s="135">
        <f>Invoerenploeg!$BM$13</f>
        <v>0</v>
      </c>
      <c r="D108" s="135">
        <f>Invoerenploeg!$BN$13</f>
        <v>0</v>
      </c>
      <c r="F108" s="142"/>
      <c r="G108" s="144"/>
      <c r="H108" s="144"/>
      <c r="I108" s="145"/>
      <c r="J108" s="145"/>
      <c r="K108" s="146">
        <f>SUM(K105:K107)</f>
        <v>0</v>
      </c>
      <c r="L108" s="142"/>
      <c r="M108" s="142"/>
      <c r="N108" s="142"/>
      <c r="O108" s="143"/>
      <c r="P108" s="143"/>
      <c r="Q108" s="7"/>
    </row>
    <row r="109" spans="2:17" ht="19.5" customHeight="1">
      <c r="B109" s="135">
        <f>Invoerenploeg!$BR$13</f>
        <v>0</v>
      </c>
      <c r="C109" s="135">
        <f>Invoerenploeg!$BP$13</f>
        <v>0</v>
      </c>
      <c r="D109" s="135">
        <f>Invoerenploeg!$BQ$13</f>
        <v>0</v>
      </c>
      <c r="F109" s="142"/>
      <c r="G109" s="135"/>
      <c r="H109" s="135"/>
      <c r="I109" s="147"/>
      <c r="J109" s="148" t="s">
        <v>85</v>
      </c>
      <c r="K109" s="149"/>
      <c r="L109" s="137" t="s">
        <v>86</v>
      </c>
      <c r="M109" s="142"/>
      <c r="N109" s="142"/>
      <c r="O109" s="143"/>
      <c r="P109" s="143"/>
      <c r="Q109" s="7"/>
    </row>
    <row r="110" spans="2:17" ht="19.5" customHeight="1">
      <c r="B110" s="135">
        <f>Invoerenploeg!$BU$13</f>
        <v>0</v>
      </c>
      <c r="C110" s="135">
        <f>Invoerenploeg!$BS$13</f>
        <v>0</v>
      </c>
      <c r="D110" s="135">
        <f>Invoerenploeg!$BT$13</f>
        <v>0</v>
      </c>
      <c r="F110" s="142"/>
      <c r="G110" s="135"/>
      <c r="H110" s="135"/>
      <c r="I110" s="147"/>
      <c r="K110" s="152"/>
      <c r="L110" s="142"/>
      <c r="M110" s="148" t="s">
        <v>88</v>
      </c>
      <c r="N110" s="142">
        <f>Invoerenploeg!$C$2</f>
        <v>50</v>
      </c>
      <c r="O110" s="153" t="s">
        <v>81</v>
      </c>
      <c r="P110" s="154"/>
      <c r="Q110" s="7">
        <f>Invoerenploeg!$K$13</f>
      </c>
    </row>
    <row r="111" spans="2:17" ht="19.5" customHeight="1">
      <c r="B111" s="135">
        <f>Invoerenploeg!$BX$13</f>
        <v>0</v>
      </c>
      <c r="C111" s="135">
        <f>Invoerenploeg!$BV$13</f>
        <v>0</v>
      </c>
      <c r="D111" s="135">
        <f>Invoerenploeg!$BW$13</f>
        <v>0</v>
      </c>
      <c r="F111" s="142"/>
      <c r="G111" s="135"/>
      <c r="H111" s="135"/>
      <c r="I111" s="155">
        <f>Invoerenploeg!$F$13</f>
        <v>0</v>
      </c>
      <c r="K111" s="152"/>
      <c r="L111" s="142"/>
      <c r="M111" s="156" t="s">
        <v>17</v>
      </c>
      <c r="N111" s="142"/>
      <c r="O111" s="142"/>
      <c r="P111" s="143">
        <f>P105+P106</f>
        <v>0</v>
      </c>
      <c r="Q111" s="157"/>
    </row>
    <row r="112" spans="2:17" ht="19.5" customHeight="1">
      <c r="B112" s="135">
        <f>Invoerenploeg!$CA$13</f>
        <v>0</v>
      </c>
      <c r="C112" s="135">
        <f>Invoerenploeg!$BY$13</f>
        <v>0</v>
      </c>
      <c r="D112" s="135">
        <f>Invoerenploeg!$BZ$13</f>
        <v>0</v>
      </c>
      <c r="F112" s="142"/>
      <c r="G112" s="135"/>
      <c r="H112" s="135"/>
      <c r="I112" s="147"/>
      <c r="J112" s="156"/>
      <c r="K112" s="152"/>
      <c r="L112" s="142"/>
      <c r="M112" s="142"/>
      <c r="N112" s="142"/>
      <c r="O112" s="143"/>
      <c r="P112" s="143"/>
      <c r="Q112" s="7"/>
    </row>
    <row r="113" spans="2:17" ht="19.5" customHeight="1">
      <c r="B113" s="135">
        <f>Invoerenploeg!$CD$13</f>
        <v>0</v>
      </c>
      <c r="C113" s="135">
        <f>Invoerenploeg!$CB$13</f>
        <v>0</v>
      </c>
      <c r="D113" s="135">
        <f>Invoerenploeg!$CC$13</f>
        <v>0</v>
      </c>
      <c r="E113" s="135" t="s">
        <v>19</v>
      </c>
      <c r="F113" s="96"/>
      <c r="G113" s="96"/>
      <c r="H113" s="135">
        <f>Invoerenploeg!$CK$13</f>
        <v>0</v>
      </c>
      <c r="I113" s="96"/>
      <c r="J113" s="96"/>
      <c r="K113" s="96"/>
      <c r="L113" s="96"/>
      <c r="M113" s="96"/>
      <c r="N113" s="96"/>
      <c r="O113" s="143"/>
      <c r="P113" s="143"/>
      <c r="Q113" s="7"/>
    </row>
    <row r="114" spans="2:17" ht="19.5" customHeight="1">
      <c r="B114" s="135">
        <f>Invoerenploeg!$CG$13</f>
        <v>0</v>
      </c>
      <c r="C114" s="135">
        <f>Invoerenploeg!$CE$13</f>
        <v>0</v>
      </c>
      <c r="D114" s="135">
        <f>Invoerenploeg!$CF$13</f>
        <v>0</v>
      </c>
      <c r="E114" s="135" t="s">
        <v>20</v>
      </c>
      <c r="F114" s="96"/>
      <c r="G114" s="96"/>
      <c r="H114" s="135">
        <f>Invoerenploeg!$CL$13</f>
        <v>0</v>
      </c>
      <c r="I114" s="96"/>
      <c r="J114" s="96"/>
      <c r="K114" s="96"/>
      <c r="L114" s="96"/>
      <c r="M114" s="96"/>
      <c r="N114" s="96"/>
      <c r="O114" s="143"/>
      <c r="P114" s="143"/>
      <c r="Q114" s="7"/>
    </row>
    <row r="115" spans="2:17" ht="19.5" customHeight="1">
      <c r="B115" s="135">
        <f>Invoerenploeg!$CJ$13</f>
        <v>0</v>
      </c>
      <c r="C115" s="135">
        <f>Invoerenploeg!$CH$13</f>
        <v>0</v>
      </c>
      <c r="D115" s="135">
        <f>Invoerenploeg!$CI$13</f>
        <v>0</v>
      </c>
      <c r="F115" s="142"/>
      <c r="G115" s="135"/>
      <c r="H115" s="135"/>
      <c r="I115" s="147"/>
      <c r="J115" s="156"/>
      <c r="K115" s="152"/>
      <c r="L115" s="142"/>
      <c r="M115" s="142"/>
      <c r="N115" s="142"/>
      <c r="O115" s="143"/>
      <c r="P115" s="143"/>
      <c r="Q115" s="7"/>
    </row>
    <row r="116" ht="3" customHeight="1"/>
    <row r="117" spans="2:17" ht="19.5" customHeight="1">
      <c r="B117" s="155">
        <f>Invoerenploeg!$A$14</f>
        <v>10</v>
      </c>
      <c r="C117" s="161">
        <f>Invoerenploeg!$D$14</f>
        <v>0</v>
      </c>
      <c r="D117" s="125">
        <f>Invoerenploeg!$E$14</f>
        <v>0</v>
      </c>
      <c r="E117" s="268">
        <v>0.3</v>
      </c>
      <c r="F117" s="162"/>
      <c r="G117" s="162"/>
      <c r="H117" s="162"/>
      <c r="I117" s="163"/>
      <c r="J117" s="163"/>
      <c r="K117" s="136"/>
      <c r="L117" s="130" t="s">
        <v>79</v>
      </c>
      <c r="M117" s="164" t="s">
        <v>80</v>
      </c>
      <c r="N117" s="165">
        <f>Invoerenploeg!$C$1</f>
        <v>50</v>
      </c>
      <c r="O117" s="166" t="s">
        <v>81</v>
      </c>
      <c r="P117" s="167">
        <f>ROUND(Invoerenploeg!$DH$14*Invoerenploeg!$C$1/100,4)</f>
        <v>0</v>
      </c>
      <c r="Q117" s="49">
        <f>Invoerenploeg!$DL$14</f>
      </c>
    </row>
    <row r="118" spans="2:17" ht="19.5" customHeight="1">
      <c r="B118" s="135">
        <f>Invoerenploeg!$BI$14</f>
        <v>0</v>
      </c>
      <c r="C118" s="135">
        <f>Invoerenploeg!$BG$14</f>
        <v>0</v>
      </c>
      <c r="D118" s="135">
        <f>Invoerenploeg!$BH$14</f>
        <v>0</v>
      </c>
      <c r="E118" s="126">
        <v>0.4</v>
      </c>
      <c r="F118" s="127"/>
      <c r="G118" s="127"/>
      <c r="H118" s="127"/>
      <c r="I118" s="128"/>
      <c r="J118" s="128"/>
      <c r="K118" s="136"/>
      <c r="L118" s="137" t="s">
        <v>82</v>
      </c>
      <c r="M118" s="138" t="s">
        <v>83</v>
      </c>
      <c r="N118" s="139">
        <f>Invoerenploeg!$C$3</f>
        <v>0</v>
      </c>
      <c r="O118" s="140" t="s">
        <v>81</v>
      </c>
      <c r="P118" s="141">
        <f>ROUND(Invoerenploeg!$H$14*Invoerenploeg!$C$3/100,4)</f>
        <v>0</v>
      </c>
      <c r="Q118" s="7">
        <f>Invoerenploeg!$I$14</f>
      </c>
    </row>
    <row r="119" spans="2:17" ht="19.5" customHeight="1">
      <c r="B119" s="135">
        <f>Invoerenploeg!$BL$14</f>
        <v>0</v>
      </c>
      <c r="C119" s="135">
        <f>Invoerenploeg!$BJ$14</f>
        <v>0</v>
      </c>
      <c r="D119" s="135">
        <f>Invoerenploeg!$BK$14</f>
        <v>0</v>
      </c>
      <c r="E119" s="126">
        <v>0.3</v>
      </c>
      <c r="F119" s="127"/>
      <c r="G119" s="127"/>
      <c r="H119" s="127"/>
      <c r="I119" s="128"/>
      <c r="J119" s="128"/>
      <c r="K119" s="136"/>
      <c r="L119" s="137" t="s">
        <v>84</v>
      </c>
      <c r="M119" s="142"/>
      <c r="N119" s="142"/>
      <c r="O119" s="143"/>
      <c r="P119" s="143"/>
      <c r="Q119" s="7"/>
    </row>
    <row r="120" spans="2:17" ht="19.5" customHeight="1">
      <c r="B120" s="135">
        <f>Invoerenploeg!$BO$14</f>
        <v>0</v>
      </c>
      <c r="C120" s="135">
        <f>Invoerenploeg!$BM$14</f>
        <v>0</v>
      </c>
      <c r="D120" s="135">
        <f>Invoerenploeg!$BN$14</f>
        <v>0</v>
      </c>
      <c r="F120" s="142"/>
      <c r="G120" s="144"/>
      <c r="H120" s="144"/>
      <c r="I120" s="145"/>
      <c r="J120" s="145"/>
      <c r="K120" s="146">
        <f>SUM(K117:K119)</f>
        <v>0</v>
      </c>
      <c r="L120" s="142"/>
      <c r="M120" s="142"/>
      <c r="N120" s="142"/>
      <c r="O120" s="143"/>
      <c r="P120" s="143"/>
      <c r="Q120" s="7"/>
    </row>
    <row r="121" spans="2:17" ht="19.5" customHeight="1">
      <c r="B121" s="135">
        <f>Invoerenploeg!$BR$14</f>
        <v>0</v>
      </c>
      <c r="C121" s="135">
        <f>Invoerenploeg!$BP$14</f>
        <v>0</v>
      </c>
      <c r="D121" s="135">
        <f>Invoerenploeg!$BQ$14</f>
        <v>0</v>
      </c>
      <c r="F121" s="142"/>
      <c r="G121" s="135"/>
      <c r="H121" s="135"/>
      <c r="I121" s="147"/>
      <c r="J121" s="148" t="s">
        <v>85</v>
      </c>
      <c r="K121" s="149"/>
      <c r="L121" s="137" t="s">
        <v>86</v>
      </c>
      <c r="M121" s="142"/>
      <c r="N121" s="142"/>
      <c r="O121" s="143"/>
      <c r="P121" s="143"/>
      <c r="Q121" s="7"/>
    </row>
    <row r="122" spans="2:17" ht="19.5" customHeight="1">
      <c r="B122" s="135">
        <f>Invoerenploeg!$BU$14</f>
        <v>0</v>
      </c>
      <c r="C122" s="135">
        <f>Invoerenploeg!$BS$14</f>
        <v>0</v>
      </c>
      <c r="D122" s="135">
        <f>Invoerenploeg!$BT$14</f>
        <v>0</v>
      </c>
      <c r="F122" s="142"/>
      <c r="G122" s="135"/>
      <c r="H122" s="135"/>
      <c r="I122" s="147"/>
      <c r="K122" s="152"/>
      <c r="L122" s="142"/>
      <c r="M122" s="148" t="s">
        <v>88</v>
      </c>
      <c r="N122" s="142">
        <f>Invoerenploeg!$C$2</f>
        <v>50</v>
      </c>
      <c r="O122" s="153" t="s">
        <v>81</v>
      </c>
      <c r="P122" s="154"/>
      <c r="Q122" s="7">
        <f>Invoerenploeg!$K$14</f>
      </c>
    </row>
    <row r="123" spans="2:17" ht="19.5" customHeight="1">
      <c r="B123" s="135">
        <f>Invoerenploeg!$BX$14</f>
        <v>0</v>
      </c>
      <c r="C123" s="135">
        <f>Invoerenploeg!$BV$14</f>
        <v>0</v>
      </c>
      <c r="D123" s="135">
        <f>Invoerenploeg!$BW$14</f>
        <v>0</v>
      </c>
      <c r="F123" s="142"/>
      <c r="G123" s="135"/>
      <c r="H123" s="135"/>
      <c r="I123" s="155">
        <f>Invoerenploeg!$F$14</f>
        <v>0</v>
      </c>
      <c r="K123" s="152"/>
      <c r="L123" s="142"/>
      <c r="M123" s="156" t="s">
        <v>17</v>
      </c>
      <c r="N123" s="142"/>
      <c r="O123" s="142"/>
      <c r="P123" s="143">
        <f>P117+P118</f>
        <v>0</v>
      </c>
      <c r="Q123" s="157"/>
    </row>
    <row r="124" spans="2:17" ht="19.5" customHeight="1">
      <c r="B124" s="135">
        <f>Invoerenploeg!$CA$14</f>
        <v>0</v>
      </c>
      <c r="C124" s="135">
        <f>Invoerenploeg!$BY$14</f>
        <v>0</v>
      </c>
      <c r="D124" s="135">
        <f>Invoerenploeg!$BZ$14</f>
        <v>0</v>
      </c>
      <c r="F124" s="142"/>
      <c r="G124" s="135"/>
      <c r="H124" s="135"/>
      <c r="I124" s="147"/>
      <c r="J124" s="156"/>
      <c r="K124" s="152"/>
      <c r="L124" s="142"/>
      <c r="M124" s="142"/>
      <c r="N124" s="142"/>
      <c r="O124" s="143"/>
      <c r="P124" s="143"/>
      <c r="Q124" s="7"/>
    </row>
    <row r="125" spans="2:17" ht="19.5" customHeight="1">
      <c r="B125" s="135">
        <f>Invoerenploeg!$CD$14</f>
        <v>0</v>
      </c>
      <c r="C125" s="135">
        <f>Invoerenploeg!$CB$14</f>
        <v>0</v>
      </c>
      <c r="D125" s="135">
        <f>Invoerenploeg!$CC$14</f>
        <v>0</v>
      </c>
      <c r="E125" s="135" t="s">
        <v>19</v>
      </c>
      <c r="F125" s="96"/>
      <c r="G125" s="96"/>
      <c r="H125" s="135">
        <f>Invoerenploeg!$CK$14</f>
        <v>0</v>
      </c>
      <c r="I125" s="96"/>
      <c r="J125" s="96"/>
      <c r="K125" s="96"/>
      <c r="L125" s="96"/>
      <c r="M125" s="96"/>
      <c r="N125" s="96"/>
      <c r="O125" s="143"/>
      <c r="P125" s="143"/>
      <c r="Q125" s="7"/>
    </row>
    <row r="126" spans="2:17" ht="19.5" customHeight="1">
      <c r="B126" s="135">
        <f>Invoerenploeg!$CG$14</f>
        <v>0</v>
      </c>
      <c r="C126" s="135">
        <f>Invoerenploeg!$CE$14</f>
        <v>0</v>
      </c>
      <c r="D126" s="135">
        <f>Invoerenploeg!$CF$14</f>
        <v>0</v>
      </c>
      <c r="E126" s="135" t="s">
        <v>20</v>
      </c>
      <c r="F126" s="96"/>
      <c r="G126" s="96"/>
      <c r="H126" s="135">
        <f>Invoerenploeg!$CL$14</f>
        <v>0</v>
      </c>
      <c r="I126" s="96"/>
      <c r="J126" s="96"/>
      <c r="K126" s="96"/>
      <c r="L126" s="96"/>
      <c r="M126" s="96"/>
      <c r="N126" s="96"/>
      <c r="O126" s="143"/>
      <c r="P126" s="143"/>
      <c r="Q126" s="7"/>
    </row>
    <row r="127" spans="2:17" ht="19.5" customHeight="1">
      <c r="B127" s="135">
        <f>Invoerenploeg!$CJ$14</f>
        <v>0</v>
      </c>
      <c r="C127" s="135">
        <f>Invoerenploeg!$CH$14</f>
        <v>0</v>
      </c>
      <c r="D127" s="135">
        <f>Invoerenploeg!$CI$14</f>
        <v>0</v>
      </c>
      <c r="F127" s="142"/>
      <c r="G127" s="135"/>
      <c r="H127" s="135"/>
      <c r="I127" s="147"/>
      <c r="J127" s="156"/>
      <c r="K127" s="152"/>
      <c r="L127" s="142"/>
      <c r="M127" s="142"/>
      <c r="N127" s="142"/>
      <c r="O127" s="143"/>
      <c r="P127" s="143"/>
      <c r="Q127" s="7"/>
    </row>
    <row r="128" ht="3" customHeight="1"/>
    <row r="129" spans="2:17" ht="19.5" customHeight="1">
      <c r="B129" s="155">
        <f>Invoerenploeg!$A$15</f>
        <v>11</v>
      </c>
      <c r="C129" s="161">
        <f>Invoerenploeg!$D$15</f>
        <v>0</v>
      </c>
      <c r="D129" s="125">
        <f>Invoerenploeg!$E$15</f>
        <v>0</v>
      </c>
      <c r="E129" s="268">
        <v>0.3</v>
      </c>
      <c r="F129" s="162"/>
      <c r="G129" s="162"/>
      <c r="H129" s="162"/>
      <c r="I129" s="163"/>
      <c r="J129" s="163"/>
      <c r="K129" s="136"/>
      <c r="L129" s="130" t="s">
        <v>79</v>
      </c>
      <c r="M129" s="164" t="s">
        <v>80</v>
      </c>
      <c r="N129" s="165">
        <f>Invoerenploeg!$C$1</f>
        <v>50</v>
      </c>
      <c r="O129" s="166" t="s">
        <v>81</v>
      </c>
      <c r="P129" s="167">
        <f>ROUND(Invoerenploeg!$DH$15*Invoerenploeg!$C$1/100,4)</f>
        <v>0</v>
      </c>
      <c r="Q129" s="49">
        <f>Invoerenploeg!$DL$15</f>
      </c>
    </row>
    <row r="130" spans="2:17" ht="19.5" customHeight="1">
      <c r="B130" s="135">
        <f>Invoerenploeg!$BI$15</f>
        <v>0</v>
      </c>
      <c r="C130" s="135">
        <f>Invoerenploeg!$BG$15</f>
        <v>0</v>
      </c>
      <c r="D130" s="135">
        <f>Invoerenploeg!$BH$15</f>
        <v>0</v>
      </c>
      <c r="E130" s="126">
        <v>0.4</v>
      </c>
      <c r="F130" s="127"/>
      <c r="G130" s="127"/>
      <c r="H130" s="127"/>
      <c r="I130" s="128"/>
      <c r="J130" s="128"/>
      <c r="K130" s="136"/>
      <c r="L130" s="137" t="s">
        <v>82</v>
      </c>
      <c r="M130" s="138" t="s">
        <v>83</v>
      </c>
      <c r="N130" s="139">
        <f>Invoerenploeg!$C$3</f>
        <v>0</v>
      </c>
      <c r="O130" s="140" t="s">
        <v>81</v>
      </c>
      <c r="P130" s="141">
        <f>ROUND(Invoerenploeg!$H$15*Invoerenploeg!$C$3/100,4)</f>
        <v>0</v>
      </c>
      <c r="Q130" s="7">
        <f>Invoerenploeg!$I$15</f>
      </c>
    </row>
    <row r="131" spans="2:17" ht="19.5" customHeight="1">
      <c r="B131" s="135">
        <f>Invoerenploeg!$BL$15</f>
        <v>0</v>
      </c>
      <c r="C131" s="135">
        <f>Invoerenploeg!$BJ$15</f>
        <v>0</v>
      </c>
      <c r="D131" s="135">
        <f>Invoerenploeg!$BK$15</f>
        <v>0</v>
      </c>
      <c r="E131" s="126">
        <v>0.3</v>
      </c>
      <c r="F131" s="127"/>
      <c r="G131" s="127"/>
      <c r="H131" s="127"/>
      <c r="I131" s="128"/>
      <c r="J131" s="128"/>
      <c r="K131" s="136"/>
      <c r="L131" s="137" t="s">
        <v>84</v>
      </c>
      <c r="M131" s="142"/>
      <c r="N131" s="142"/>
      <c r="O131" s="143"/>
      <c r="P131" s="143"/>
      <c r="Q131" s="7"/>
    </row>
    <row r="132" spans="2:17" ht="19.5" customHeight="1">
      <c r="B132" s="135">
        <f>Invoerenploeg!$BO$15</f>
        <v>0</v>
      </c>
      <c r="C132" s="135">
        <f>Invoerenploeg!$BM$15</f>
        <v>0</v>
      </c>
      <c r="D132" s="135">
        <f>Invoerenploeg!$BN$15</f>
        <v>0</v>
      </c>
      <c r="F132" s="142"/>
      <c r="G132" s="144"/>
      <c r="H132" s="144"/>
      <c r="I132" s="145"/>
      <c r="J132" s="145"/>
      <c r="K132" s="146">
        <f>SUM(K129:K131)</f>
        <v>0</v>
      </c>
      <c r="L132" s="142"/>
      <c r="M132" s="142"/>
      <c r="N132" s="142"/>
      <c r="O132" s="143"/>
      <c r="P132" s="143"/>
      <c r="Q132" s="7"/>
    </row>
    <row r="133" spans="2:17" ht="19.5" customHeight="1">
      <c r="B133" s="135">
        <f>Invoerenploeg!$BR$15</f>
        <v>0</v>
      </c>
      <c r="C133" s="135">
        <f>Invoerenploeg!$BP$15</f>
        <v>0</v>
      </c>
      <c r="D133" s="135">
        <f>Invoerenploeg!$BQ$15</f>
        <v>0</v>
      </c>
      <c r="F133" s="142"/>
      <c r="G133" s="135"/>
      <c r="H133" s="135"/>
      <c r="I133" s="147"/>
      <c r="J133" s="148" t="s">
        <v>85</v>
      </c>
      <c r="K133" s="149"/>
      <c r="L133" s="137" t="s">
        <v>86</v>
      </c>
      <c r="M133" s="142"/>
      <c r="N133" s="142"/>
      <c r="O133" s="143"/>
      <c r="P133" s="143"/>
      <c r="Q133" s="7"/>
    </row>
    <row r="134" spans="2:17" ht="19.5" customHeight="1">
      <c r="B134" s="135">
        <f>Invoerenploeg!$BU$15</f>
        <v>0</v>
      </c>
      <c r="C134" s="135">
        <f>Invoerenploeg!$BS$15</f>
        <v>0</v>
      </c>
      <c r="D134" s="135">
        <f>Invoerenploeg!$BT$15</f>
        <v>0</v>
      </c>
      <c r="F134" s="142"/>
      <c r="G134" s="135"/>
      <c r="H134" s="135"/>
      <c r="I134" s="147"/>
      <c r="K134" s="152"/>
      <c r="L134" s="142"/>
      <c r="M134" s="148" t="s">
        <v>88</v>
      </c>
      <c r="N134" s="142">
        <f>Invoerenploeg!$C$2</f>
        <v>50</v>
      </c>
      <c r="O134" s="153" t="s">
        <v>81</v>
      </c>
      <c r="P134" s="154"/>
      <c r="Q134" s="7">
        <f>Invoerenploeg!$K$15</f>
      </c>
    </row>
    <row r="135" spans="2:17" ht="19.5" customHeight="1">
      <c r="B135" s="135">
        <f>Invoerenploeg!$BX$15</f>
        <v>0</v>
      </c>
      <c r="C135" s="135">
        <f>Invoerenploeg!$BV$15</f>
        <v>0</v>
      </c>
      <c r="D135" s="135">
        <f>Invoerenploeg!$BW$15</f>
        <v>0</v>
      </c>
      <c r="F135" s="142"/>
      <c r="G135" s="135"/>
      <c r="H135" s="135"/>
      <c r="I135" s="155">
        <f>Invoerenploeg!$F$15</f>
        <v>0</v>
      </c>
      <c r="K135" s="152"/>
      <c r="L135" s="142"/>
      <c r="M135" s="156" t="s">
        <v>17</v>
      </c>
      <c r="N135" s="142"/>
      <c r="O135" s="142"/>
      <c r="P135" s="143">
        <f>P129+P130</f>
        <v>0</v>
      </c>
      <c r="Q135" s="157"/>
    </row>
    <row r="136" spans="2:17" ht="19.5" customHeight="1">
      <c r="B136" s="135">
        <f>Invoerenploeg!$CA$15</f>
        <v>0</v>
      </c>
      <c r="C136" s="135">
        <f>Invoerenploeg!$BY$15</f>
        <v>0</v>
      </c>
      <c r="D136" s="135">
        <f>Invoerenploeg!$BZ$15</f>
        <v>0</v>
      </c>
      <c r="F136" s="142"/>
      <c r="G136" s="135"/>
      <c r="H136" s="135"/>
      <c r="I136" s="147"/>
      <c r="J136" s="156"/>
      <c r="K136" s="152"/>
      <c r="L136" s="142"/>
      <c r="M136" s="142"/>
      <c r="N136" s="142"/>
      <c r="O136" s="143"/>
      <c r="P136" s="143"/>
      <c r="Q136" s="7"/>
    </row>
    <row r="137" spans="2:17" ht="19.5" customHeight="1">
      <c r="B137" s="135">
        <f>Invoerenploeg!$CD$15</f>
        <v>0</v>
      </c>
      <c r="C137" s="135">
        <f>Invoerenploeg!$CB$15</f>
        <v>0</v>
      </c>
      <c r="D137" s="135">
        <f>Invoerenploeg!$CC$15</f>
        <v>0</v>
      </c>
      <c r="E137" s="135" t="s">
        <v>19</v>
      </c>
      <c r="F137" s="96"/>
      <c r="G137" s="96"/>
      <c r="H137" s="135">
        <f>Invoerenploeg!$CK$15</f>
        <v>0</v>
      </c>
      <c r="I137" s="96"/>
      <c r="J137" s="96"/>
      <c r="K137" s="96"/>
      <c r="L137" s="96"/>
      <c r="M137" s="96"/>
      <c r="N137" s="96"/>
      <c r="O137" s="143"/>
      <c r="P137" s="143"/>
      <c r="Q137" s="7"/>
    </row>
    <row r="138" spans="2:17" ht="19.5" customHeight="1">
      <c r="B138" s="135">
        <f>Invoerenploeg!$CG$15</f>
        <v>0</v>
      </c>
      <c r="C138" s="135">
        <f>Invoerenploeg!$CE$15</f>
        <v>0</v>
      </c>
      <c r="D138" s="135">
        <f>Invoerenploeg!$CF$15</f>
        <v>0</v>
      </c>
      <c r="E138" s="135" t="s">
        <v>20</v>
      </c>
      <c r="F138" s="96"/>
      <c r="G138" s="96"/>
      <c r="H138" s="135">
        <f>Invoerenploeg!$CL$15</f>
        <v>0</v>
      </c>
      <c r="I138" s="96"/>
      <c r="J138" s="96"/>
      <c r="K138" s="96"/>
      <c r="L138" s="96"/>
      <c r="M138" s="96"/>
      <c r="N138" s="96"/>
      <c r="O138" s="143"/>
      <c r="P138" s="143"/>
      <c r="Q138" s="7"/>
    </row>
    <row r="139" spans="2:17" ht="19.5" customHeight="1">
      <c r="B139" s="135">
        <f>Invoerenploeg!$CJ$15</f>
        <v>0</v>
      </c>
      <c r="C139" s="135">
        <f>Invoerenploeg!$CH$15</f>
        <v>0</v>
      </c>
      <c r="D139" s="135">
        <f>Invoerenploeg!$CI$15</f>
        <v>0</v>
      </c>
      <c r="F139" s="142"/>
      <c r="G139" s="135"/>
      <c r="H139" s="135"/>
      <c r="I139" s="147"/>
      <c r="J139" s="156"/>
      <c r="K139" s="152"/>
      <c r="L139" s="142"/>
      <c r="M139" s="142"/>
      <c r="N139" s="142"/>
      <c r="O139" s="143"/>
      <c r="P139" s="143"/>
      <c r="Q139" s="7"/>
    </row>
    <row r="140" ht="3" customHeight="1"/>
    <row r="141" spans="2:17" ht="19.5" customHeight="1">
      <c r="B141" s="155">
        <f>Invoerenploeg!$A$16</f>
        <v>12</v>
      </c>
      <c r="C141" s="161">
        <f>Invoerenploeg!$D$16</f>
        <v>0</v>
      </c>
      <c r="D141" s="125">
        <f>Invoerenploeg!$E$16</f>
        <v>0</v>
      </c>
      <c r="E141" s="268">
        <v>0.3</v>
      </c>
      <c r="F141" s="162"/>
      <c r="G141" s="162"/>
      <c r="H141" s="162"/>
      <c r="I141" s="163"/>
      <c r="J141" s="163"/>
      <c r="K141" s="136"/>
      <c r="L141" s="130" t="s">
        <v>79</v>
      </c>
      <c r="M141" s="164" t="s">
        <v>80</v>
      </c>
      <c r="N141" s="165">
        <f>Invoerenploeg!$C$1</f>
        <v>50</v>
      </c>
      <c r="O141" s="166" t="s">
        <v>81</v>
      </c>
      <c r="P141" s="167">
        <f>ROUND(Invoerenploeg!$DH$16*Invoerenploeg!$C$1/100,4)</f>
        <v>0</v>
      </c>
      <c r="Q141" s="49">
        <f>Invoerenploeg!$DL$16</f>
      </c>
    </row>
    <row r="142" spans="2:17" ht="19.5" customHeight="1">
      <c r="B142" s="135">
        <f>Invoerenploeg!$BI$16</f>
        <v>0</v>
      </c>
      <c r="C142" s="135">
        <f>Invoerenploeg!$BG$16</f>
        <v>0</v>
      </c>
      <c r="D142" s="135">
        <f>Invoerenploeg!$BH$16</f>
        <v>0</v>
      </c>
      <c r="E142" s="126">
        <v>0.4</v>
      </c>
      <c r="F142" s="127"/>
      <c r="G142" s="127"/>
      <c r="H142" s="127"/>
      <c r="I142" s="128"/>
      <c r="J142" s="128"/>
      <c r="K142" s="136"/>
      <c r="L142" s="137" t="s">
        <v>82</v>
      </c>
      <c r="M142" s="138" t="s">
        <v>83</v>
      </c>
      <c r="N142" s="139">
        <f>Invoerenploeg!$C$3</f>
        <v>0</v>
      </c>
      <c r="O142" s="140" t="s">
        <v>81</v>
      </c>
      <c r="P142" s="141">
        <f>ROUND(Invoerenploeg!$H$16*Invoerenploeg!$C$3/100,4)</f>
        <v>0</v>
      </c>
      <c r="Q142" s="7">
        <f>Invoerenploeg!$I$16</f>
      </c>
    </row>
    <row r="143" spans="2:17" ht="19.5" customHeight="1">
      <c r="B143" s="135">
        <f>Invoerenploeg!$BL$16</f>
        <v>0</v>
      </c>
      <c r="C143" s="135">
        <f>Invoerenploeg!$BJ$16</f>
        <v>0</v>
      </c>
      <c r="D143" s="135">
        <f>Invoerenploeg!$BK$16</f>
        <v>0</v>
      </c>
      <c r="E143" s="126">
        <v>0.3</v>
      </c>
      <c r="F143" s="127"/>
      <c r="G143" s="127"/>
      <c r="H143" s="127"/>
      <c r="I143" s="128"/>
      <c r="J143" s="128"/>
      <c r="K143" s="136"/>
      <c r="L143" s="137" t="s">
        <v>84</v>
      </c>
      <c r="M143" s="142"/>
      <c r="N143" s="142"/>
      <c r="O143" s="143"/>
      <c r="P143" s="143"/>
      <c r="Q143" s="7"/>
    </row>
    <row r="144" spans="2:17" ht="19.5" customHeight="1">
      <c r="B144" s="135">
        <f>Invoerenploeg!$BO$16</f>
        <v>0</v>
      </c>
      <c r="C144" s="135">
        <f>Invoerenploeg!$BM$16</f>
        <v>0</v>
      </c>
      <c r="D144" s="135">
        <f>Invoerenploeg!$BN$16</f>
        <v>0</v>
      </c>
      <c r="F144" s="142"/>
      <c r="G144" s="144"/>
      <c r="H144" s="144"/>
      <c r="I144" s="145"/>
      <c r="J144" s="145"/>
      <c r="K144" s="146">
        <f>SUM(K141:K143)</f>
        <v>0</v>
      </c>
      <c r="L144" s="142"/>
      <c r="M144" s="142"/>
      <c r="N144" s="142"/>
      <c r="O144" s="143"/>
      <c r="P144" s="143"/>
      <c r="Q144" s="7"/>
    </row>
    <row r="145" spans="2:17" ht="19.5" customHeight="1">
      <c r="B145" s="135">
        <f>Invoerenploeg!$BR$16</f>
        <v>0</v>
      </c>
      <c r="C145" s="135">
        <f>Invoerenploeg!$BP$16</f>
        <v>0</v>
      </c>
      <c r="D145" s="135">
        <f>Invoerenploeg!$BQ$16</f>
        <v>0</v>
      </c>
      <c r="F145" s="142"/>
      <c r="G145" s="135"/>
      <c r="H145" s="135"/>
      <c r="I145" s="147"/>
      <c r="J145" s="148" t="s">
        <v>85</v>
      </c>
      <c r="K145" s="149"/>
      <c r="L145" s="137" t="s">
        <v>86</v>
      </c>
      <c r="M145" s="142"/>
      <c r="N145" s="142"/>
      <c r="O145" s="143"/>
      <c r="P145" s="143"/>
      <c r="Q145" s="7"/>
    </row>
    <row r="146" spans="2:17" ht="19.5" customHeight="1">
      <c r="B146" s="135">
        <f>Invoerenploeg!$BU$16</f>
        <v>0</v>
      </c>
      <c r="C146" s="135">
        <f>Invoerenploeg!$BS$16</f>
        <v>0</v>
      </c>
      <c r="D146" s="135">
        <f>Invoerenploeg!$BT$16</f>
        <v>0</v>
      </c>
      <c r="F146" s="142"/>
      <c r="G146" s="135"/>
      <c r="H146" s="135"/>
      <c r="I146" s="147"/>
      <c r="K146" s="152"/>
      <c r="L146" s="142"/>
      <c r="M146" s="148" t="s">
        <v>88</v>
      </c>
      <c r="N146" s="142">
        <f>Invoerenploeg!$C$2</f>
        <v>50</v>
      </c>
      <c r="O146" s="153" t="s">
        <v>81</v>
      </c>
      <c r="P146" s="154"/>
      <c r="Q146" s="7">
        <f>Invoerenploeg!$K$16</f>
      </c>
    </row>
    <row r="147" spans="2:17" ht="19.5" customHeight="1">
      <c r="B147" s="135">
        <f>Invoerenploeg!$BX$16</f>
        <v>0</v>
      </c>
      <c r="C147" s="135">
        <f>Invoerenploeg!$BV$16</f>
        <v>0</v>
      </c>
      <c r="D147" s="135">
        <f>Invoerenploeg!$BW$16</f>
        <v>0</v>
      </c>
      <c r="F147" s="142"/>
      <c r="G147" s="135"/>
      <c r="H147" s="135"/>
      <c r="I147" s="155">
        <f>Invoerenploeg!$F$16</f>
        <v>0</v>
      </c>
      <c r="K147" s="152"/>
      <c r="L147" s="142"/>
      <c r="M147" s="156" t="s">
        <v>17</v>
      </c>
      <c r="N147" s="142"/>
      <c r="O147" s="142"/>
      <c r="P147" s="143">
        <f>P141+P142</f>
        <v>0</v>
      </c>
      <c r="Q147" s="157"/>
    </row>
    <row r="148" spans="2:17" ht="19.5" customHeight="1">
      <c r="B148" s="135">
        <f>Invoerenploeg!$CA$16</f>
        <v>0</v>
      </c>
      <c r="C148" s="135">
        <f>Invoerenploeg!$BY$16</f>
        <v>0</v>
      </c>
      <c r="D148" s="135">
        <f>Invoerenploeg!$BZ$16</f>
        <v>0</v>
      </c>
      <c r="F148" s="142"/>
      <c r="G148" s="135"/>
      <c r="H148" s="135"/>
      <c r="I148" s="147"/>
      <c r="J148" s="156"/>
      <c r="K148" s="152"/>
      <c r="L148" s="142"/>
      <c r="M148" s="142"/>
      <c r="N148" s="142"/>
      <c r="O148" s="143"/>
      <c r="P148" s="143"/>
      <c r="Q148" s="7"/>
    </row>
    <row r="149" spans="2:17" ht="19.5" customHeight="1">
      <c r="B149" s="135">
        <f>Invoerenploeg!$CD$16</f>
        <v>0</v>
      </c>
      <c r="C149" s="135">
        <f>Invoerenploeg!$CB$16</f>
        <v>0</v>
      </c>
      <c r="D149" s="135">
        <f>Invoerenploeg!$CC$16</f>
        <v>0</v>
      </c>
      <c r="E149" s="135" t="s">
        <v>19</v>
      </c>
      <c r="F149" s="96"/>
      <c r="G149" s="96"/>
      <c r="H149" s="135">
        <f>Invoerenploeg!$CK$16</f>
        <v>0</v>
      </c>
      <c r="I149" s="96"/>
      <c r="J149" s="96"/>
      <c r="K149" s="96"/>
      <c r="L149" s="96"/>
      <c r="M149" s="96"/>
      <c r="N149" s="96"/>
      <c r="O149" s="143"/>
      <c r="P149" s="143"/>
      <c r="Q149" s="7"/>
    </row>
    <row r="150" spans="2:17" ht="19.5" customHeight="1">
      <c r="B150" s="135">
        <f>Invoerenploeg!$CG$16</f>
        <v>0</v>
      </c>
      <c r="C150" s="135">
        <f>Invoerenploeg!$CE$16</f>
        <v>0</v>
      </c>
      <c r="D150" s="135">
        <f>Invoerenploeg!$CF$16</f>
        <v>0</v>
      </c>
      <c r="E150" s="135" t="s">
        <v>20</v>
      </c>
      <c r="F150" s="96"/>
      <c r="G150" s="96"/>
      <c r="H150" s="135">
        <f>Invoerenploeg!$CL$16</f>
        <v>0</v>
      </c>
      <c r="I150" s="96"/>
      <c r="J150" s="96"/>
      <c r="K150" s="96"/>
      <c r="L150" s="96"/>
      <c r="M150" s="96"/>
      <c r="N150" s="96"/>
      <c r="O150" s="143"/>
      <c r="P150" s="143"/>
      <c r="Q150" s="7"/>
    </row>
    <row r="151" spans="2:17" ht="19.5" customHeight="1">
      <c r="B151" s="135">
        <f>Invoerenploeg!$CJ$16</f>
        <v>0</v>
      </c>
      <c r="C151" s="135">
        <f>Invoerenploeg!$CH$16</f>
        <v>0</v>
      </c>
      <c r="D151" s="135">
        <f>Invoerenploeg!$CI$16</f>
        <v>0</v>
      </c>
      <c r="F151" s="142"/>
      <c r="G151" s="135"/>
      <c r="H151" s="135"/>
      <c r="I151" s="147"/>
      <c r="J151" s="156"/>
      <c r="K151" s="152"/>
      <c r="L151" s="142"/>
      <c r="M151" s="142"/>
      <c r="N151" s="142"/>
      <c r="O151" s="143"/>
      <c r="P151" s="143"/>
      <c r="Q151" s="7"/>
    </row>
    <row r="152" ht="3" customHeight="1"/>
    <row r="153" spans="2:17" ht="19.5" customHeight="1">
      <c r="B153" s="155">
        <f>Invoerenploeg!$A$17</f>
        <v>13</v>
      </c>
      <c r="C153" s="161">
        <f>Invoerenploeg!$D$17</f>
        <v>0</v>
      </c>
      <c r="D153" s="125">
        <f>Invoerenploeg!$E$17</f>
        <v>0</v>
      </c>
      <c r="E153" s="268">
        <v>0.3</v>
      </c>
      <c r="F153" s="162"/>
      <c r="G153" s="162"/>
      <c r="H153" s="162"/>
      <c r="I153" s="163"/>
      <c r="J153" s="163"/>
      <c r="K153" s="136"/>
      <c r="L153" s="130" t="s">
        <v>79</v>
      </c>
      <c r="M153" s="164" t="s">
        <v>80</v>
      </c>
      <c r="N153" s="165">
        <f>Invoerenploeg!$C$1</f>
        <v>50</v>
      </c>
      <c r="O153" s="166" t="s">
        <v>81</v>
      </c>
      <c r="P153" s="167">
        <f>ROUND(Invoerenploeg!$DH$17*Invoerenploeg!$C$1/100,4)</f>
        <v>0</v>
      </c>
      <c r="Q153" s="49">
        <f>Invoerenploeg!$DL$17</f>
      </c>
    </row>
    <row r="154" spans="2:17" ht="19.5" customHeight="1">
      <c r="B154" s="135">
        <f>Invoerenploeg!$BI$17</f>
        <v>0</v>
      </c>
      <c r="C154" s="135">
        <f>Invoerenploeg!$BG$17</f>
        <v>0</v>
      </c>
      <c r="D154" s="135">
        <f>Invoerenploeg!$BH$17</f>
        <v>0</v>
      </c>
      <c r="E154" s="126">
        <v>0.4</v>
      </c>
      <c r="F154" s="127"/>
      <c r="G154" s="127"/>
      <c r="H154" s="127"/>
      <c r="I154" s="128"/>
      <c r="J154" s="128"/>
      <c r="K154" s="136"/>
      <c r="L154" s="137" t="s">
        <v>82</v>
      </c>
      <c r="M154" s="138" t="s">
        <v>83</v>
      </c>
      <c r="N154" s="139">
        <f>Invoerenploeg!$C$3</f>
        <v>0</v>
      </c>
      <c r="O154" s="140" t="s">
        <v>81</v>
      </c>
      <c r="P154" s="141">
        <f>ROUND(Invoerenploeg!$H$17*Invoerenploeg!$C$3/100,4)</f>
        <v>0</v>
      </c>
      <c r="Q154" s="7">
        <f>Invoerenploeg!$I$17</f>
      </c>
    </row>
    <row r="155" spans="2:17" ht="19.5" customHeight="1">
      <c r="B155" s="135">
        <f>Invoerenploeg!$BL$17</f>
        <v>0</v>
      </c>
      <c r="C155" s="135">
        <f>Invoerenploeg!$BJ$17</f>
        <v>0</v>
      </c>
      <c r="D155" s="135">
        <f>Invoerenploeg!$BK$17</f>
        <v>0</v>
      </c>
      <c r="E155" s="126">
        <v>0.3</v>
      </c>
      <c r="F155" s="127"/>
      <c r="G155" s="127"/>
      <c r="H155" s="127"/>
      <c r="I155" s="128"/>
      <c r="J155" s="128"/>
      <c r="K155" s="136"/>
      <c r="L155" s="137" t="s">
        <v>84</v>
      </c>
      <c r="M155" s="142"/>
      <c r="N155" s="142"/>
      <c r="O155" s="143"/>
      <c r="P155" s="143"/>
      <c r="Q155" s="7"/>
    </row>
    <row r="156" spans="2:17" ht="19.5" customHeight="1">
      <c r="B156" s="135">
        <f>Invoerenploeg!$BO$17</f>
        <v>0</v>
      </c>
      <c r="C156" s="135">
        <f>Invoerenploeg!$BM$17</f>
        <v>0</v>
      </c>
      <c r="D156" s="135">
        <f>Invoerenploeg!$BN$17</f>
        <v>0</v>
      </c>
      <c r="F156" s="142"/>
      <c r="G156" s="144"/>
      <c r="H156" s="144"/>
      <c r="I156" s="145"/>
      <c r="J156" s="145"/>
      <c r="K156" s="146">
        <f>SUM(K153:K155)</f>
        <v>0</v>
      </c>
      <c r="L156" s="142"/>
      <c r="M156" s="142"/>
      <c r="N156" s="142"/>
      <c r="O156" s="143"/>
      <c r="P156" s="143"/>
      <c r="Q156" s="7"/>
    </row>
    <row r="157" spans="2:17" ht="19.5" customHeight="1">
      <c r="B157" s="135">
        <f>Invoerenploeg!$BR$17</f>
        <v>0</v>
      </c>
      <c r="C157" s="135">
        <f>Invoerenploeg!$BP$17</f>
        <v>0</v>
      </c>
      <c r="D157" s="135">
        <f>Invoerenploeg!$BQ$17</f>
        <v>0</v>
      </c>
      <c r="F157" s="142"/>
      <c r="G157" s="135"/>
      <c r="H157" s="135"/>
      <c r="I157" s="147"/>
      <c r="J157" s="148" t="s">
        <v>85</v>
      </c>
      <c r="K157" s="149"/>
      <c r="L157" s="137" t="s">
        <v>86</v>
      </c>
      <c r="M157" s="142"/>
      <c r="N157" s="142"/>
      <c r="O157" s="143"/>
      <c r="P157" s="143"/>
      <c r="Q157" s="7"/>
    </row>
    <row r="158" spans="2:17" ht="19.5" customHeight="1">
      <c r="B158" s="135">
        <f>Invoerenploeg!$BU$17</f>
        <v>0</v>
      </c>
      <c r="C158" s="135">
        <f>Invoerenploeg!$BS$17</f>
        <v>0</v>
      </c>
      <c r="D158" s="135">
        <f>Invoerenploeg!$BT$17</f>
        <v>0</v>
      </c>
      <c r="F158" s="142"/>
      <c r="G158" s="135"/>
      <c r="H158" s="135"/>
      <c r="I158" s="147"/>
      <c r="K158" s="152"/>
      <c r="L158" s="142"/>
      <c r="M158" s="148" t="s">
        <v>88</v>
      </c>
      <c r="N158" s="142">
        <f>Invoerenploeg!$C$2</f>
        <v>50</v>
      </c>
      <c r="O158" s="153" t="s">
        <v>81</v>
      </c>
      <c r="P158" s="154"/>
      <c r="Q158" s="7">
        <f>Invoerenploeg!$K$17</f>
      </c>
    </row>
    <row r="159" spans="2:17" ht="19.5" customHeight="1">
      <c r="B159" s="135">
        <f>Invoerenploeg!$BX$17</f>
        <v>0</v>
      </c>
      <c r="C159" s="135">
        <f>Invoerenploeg!$BV$17</f>
        <v>0</v>
      </c>
      <c r="D159" s="135">
        <f>Invoerenploeg!$BW$17</f>
        <v>0</v>
      </c>
      <c r="F159" s="142"/>
      <c r="G159" s="135"/>
      <c r="H159" s="135"/>
      <c r="I159" s="155">
        <f>Invoerenploeg!$F$17</f>
        <v>0</v>
      </c>
      <c r="K159" s="152"/>
      <c r="L159" s="142"/>
      <c r="M159" s="156" t="s">
        <v>17</v>
      </c>
      <c r="N159" s="142"/>
      <c r="O159" s="142"/>
      <c r="P159" s="143">
        <f>P153+P154</f>
        <v>0</v>
      </c>
      <c r="Q159" s="157"/>
    </row>
    <row r="160" spans="2:17" ht="19.5" customHeight="1">
      <c r="B160" s="135">
        <f>Invoerenploeg!$CA$17</f>
        <v>0</v>
      </c>
      <c r="C160" s="135">
        <f>Invoerenploeg!$BY$17</f>
        <v>0</v>
      </c>
      <c r="D160" s="135">
        <f>Invoerenploeg!$BZ$17</f>
        <v>0</v>
      </c>
      <c r="F160" s="142"/>
      <c r="G160" s="135"/>
      <c r="H160" s="135"/>
      <c r="I160" s="147"/>
      <c r="J160" s="156"/>
      <c r="K160" s="152"/>
      <c r="L160" s="142"/>
      <c r="M160" s="142"/>
      <c r="N160" s="142"/>
      <c r="O160" s="143"/>
      <c r="P160" s="143"/>
      <c r="Q160" s="7"/>
    </row>
    <row r="161" spans="2:17" ht="19.5" customHeight="1">
      <c r="B161" s="135">
        <f>Invoerenploeg!$CD$17</f>
        <v>0</v>
      </c>
      <c r="C161" s="135">
        <f>Invoerenploeg!$CB$17</f>
        <v>0</v>
      </c>
      <c r="D161" s="135">
        <f>Invoerenploeg!$CC$17</f>
        <v>0</v>
      </c>
      <c r="E161" s="135" t="s">
        <v>19</v>
      </c>
      <c r="F161" s="96"/>
      <c r="G161" s="96"/>
      <c r="H161" s="135">
        <f>Invoerenploeg!$CK$17</f>
        <v>0</v>
      </c>
      <c r="I161" s="96"/>
      <c r="J161" s="96"/>
      <c r="K161" s="96"/>
      <c r="L161" s="96"/>
      <c r="M161" s="96"/>
      <c r="N161" s="96"/>
      <c r="O161" s="143"/>
      <c r="P161" s="143"/>
      <c r="Q161" s="7"/>
    </row>
    <row r="162" spans="2:17" ht="19.5" customHeight="1">
      <c r="B162" s="135">
        <f>Invoerenploeg!$CG$17</f>
        <v>0</v>
      </c>
      <c r="C162" s="135">
        <f>Invoerenploeg!$CE$17</f>
        <v>0</v>
      </c>
      <c r="D162" s="135">
        <f>Invoerenploeg!$CF$17</f>
        <v>0</v>
      </c>
      <c r="E162" s="135" t="s">
        <v>20</v>
      </c>
      <c r="F162" s="96"/>
      <c r="G162" s="96"/>
      <c r="H162" s="135">
        <f>Invoerenploeg!$CL$17</f>
        <v>0</v>
      </c>
      <c r="I162" s="96"/>
      <c r="J162" s="96"/>
      <c r="K162" s="96"/>
      <c r="L162" s="96"/>
      <c r="M162" s="96"/>
      <c r="N162" s="96"/>
      <c r="O162" s="143"/>
      <c r="P162" s="143"/>
      <c r="Q162" s="7"/>
    </row>
    <row r="163" spans="2:17" ht="19.5" customHeight="1">
      <c r="B163" s="135">
        <f>Invoerenploeg!$CJ$17</f>
        <v>0</v>
      </c>
      <c r="C163" s="135">
        <f>Invoerenploeg!$CH$17</f>
        <v>0</v>
      </c>
      <c r="D163" s="135">
        <f>Invoerenploeg!$CI$17</f>
        <v>0</v>
      </c>
      <c r="F163" s="142"/>
      <c r="G163" s="135"/>
      <c r="H163" s="135"/>
      <c r="I163" s="147"/>
      <c r="J163" s="156"/>
      <c r="K163" s="152"/>
      <c r="L163" s="142"/>
      <c r="M163" s="142"/>
      <c r="N163" s="142"/>
      <c r="O163" s="143"/>
      <c r="P163" s="143"/>
      <c r="Q163" s="7"/>
    </row>
    <row r="164" ht="3" customHeight="1"/>
    <row r="165" spans="2:17" ht="19.5" customHeight="1">
      <c r="B165" s="155">
        <f>Invoerenploeg!$A$18</f>
        <v>14</v>
      </c>
      <c r="C165" s="161">
        <f>Invoerenploeg!$D$18</f>
        <v>0</v>
      </c>
      <c r="D165" s="125">
        <f>Invoerenploeg!$E$18</f>
        <v>0</v>
      </c>
      <c r="E165" s="268">
        <v>0.3</v>
      </c>
      <c r="F165" s="162"/>
      <c r="G165" s="162"/>
      <c r="H165" s="162"/>
      <c r="I165" s="163"/>
      <c r="J165" s="163"/>
      <c r="K165" s="136"/>
      <c r="L165" s="130" t="s">
        <v>79</v>
      </c>
      <c r="M165" s="164" t="s">
        <v>80</v>
      </c>
      <c r="N165" s="165">
        <f>Invoerenploeg!$C$1</f>
        <v>50</v>
      </c>
      <c r="O165" s="166" t="s">
        <v>81</v>
      </c>
      <c r="P165" s="167">
        <f>ROUND(Invoerenploeg!$DH$18*Invoerenploeg!$C$1/100,4)</f>
        <v>0</v>
      </c>
      <c r="Q165" s="49">
        <f>Invoerenploeg!$DL$18</f>
      </c>
    </row>
    <row r="166" spans="2:17" ht="19.5" customHeight="1">
      <c r="B166" s="135">
        <f>Invoerenploeg!$BI$18</f>
        <v>0</v>
      </c>
      <c r="C166" s="135">
        <f>Invoerenploeg!$BG$18</f>
        <v>0</v>
      </c>
      <c r="D166" s="135">
        <f>Invoerenploeg!$BH$18</f>
        <v>0</v>
      </c>
      <c r="E166" s="126">
        <v>0.4</v>
      </c>
      <c r="F166" s="127"/>
      <c r="G166" s="127"/>
      <c r="H166" s="127"/>
      <c r="I166" s="128"/>
      <c r="J166" s="128"/>
      <c r="K166" s="136"/>
      <c r="L166" s="137" t="s">
        <v>82</v>
      </c>
      <c r="M166" s="138" t="s">
        <v>83</v>
      </c>
      <c r="N166" s="139">
        <f>Invoerenploeg!$C$3</f>
        <v>0</v>
      </c>
      <c r="O166" s="140" t="s">
        <v>81</v>
      </c>
      <c r="P166" s="141">
        <f>ROUND(Invoerenploeg!$H$18*Invoerenploeg!$C$3/100,4)</f>
        <v>0</v>
      </c>
      <c r="Q166" s="7">
        <f>Invoerenploeg!$I$18</f>
      </c>
    </row>
    <row r="167" spans="2:17" ht="19.5" customHeight="1">
      <c r="B167" s="135">
        <f>Invoerenploeg!$BL$18</f>
        <v>0</v>
      </c>
      <c r="C167" s="135">
        <f>Invoerenploeg!$BJ$18</f>
        <v>0</v>
      </c>
      <c r="D167" s="135">
        <f>Invoerenploeg!$BK$18</f>
        <v>0</v>
      </c>
      <c r="E167" s="126">
        <v>0.3</v>
      </c>
      <c r="F167" s="127"/>
      <c r="G167" s="127"/>
      <c r="H167" s="127"/>
      <c r="I167" s="128"/>
      <c r="J167" s="128"/>
      <c r="K167" s="136"/>
      <c r="L167" s="137" t="s">
        <v>84</v>
      </c>
      <c r="M167" s="142"/>
      <c r="N167" s="142"/>
      <c r="O167" s="143"/>
      <c r="P167" s="143"/>
      <c r="Q167" s="7"/>
    </row>
    <row r="168" spans="2:17" ht="19.5" customHeight="1">
      <c r="B168" s="135">
        <f>Invoerenploeg!$BO$18</f>
        <v>0</v>
      </c>
      <c r="C168" s="135">
        <f>Invoerenploeg!$BM$18</f>
        <v>0</v>
      </c>
      <c r="D168" s="135">
        <f>Invoerenploeg!$BN$18</f>
        <v>0</v>
      </c>
      <c r="F168" s="142"/>
      <c r="G168" s="144"/>
      <c r="H168" s="144"/>
      <c r="I168" s="145"/>
      <c r="J168" s="145"/>
      <c r="K168" s="146">
        <f>SUM(K165:K167)</f>
        <v>0</v>
      </c>
      <c r="L168" s="142"/>
      <c r="M168" s="142"/>
      <c r="N168" s="142"/>
      <c r="O168" s="143"/>
      <c r="P168" s="143"/>
      <c r="Q168" s="7"/>
    </row>
    <row r="169" spans="2:17" ht="19.5" customHeight="1">
      <c r="B169" s="135">
        <f>Invoerenploeg!$BR$18</f>
        <v>0</v>
      </c>
      <c r="C169" s="135">
        <f>Invoerenploeg!$BP$18</f>
        <v>0</v>
      </c>
      <c r="D169" s="135">
        <f>Invoerenploeg!$BQ$18</f>
        <v>0</v>
      </c>
      <c r="F169" s="142"/>
      <c r="G169" s="135"/>
      <c r="H169" s="135"/>
      <c r="I169" s="147"/>
      <c r="J169" s="148" t="s">
        <v>85</v>
      </c>
      <c r="K169" s="149"/>
      <c r="L169" s="137" t="s">
        <v>86</v>
      </c>
      <c r="M169" s="142"/>
      <c r="N169" s="142"/>
      <c r="O169" s="143"/>
      <c r="P169" s="143"/>
      <c r="Q169" s="7"/>
    </row>
    <row r="170" spans="2:17" ht="19.5" customHeight="1">
      <c r="B170" s="135">
        <f>Invoerenploeg!$BU$18</f>
        <v>0</v>
      </c>
      <c r="C170" s="135">
        <f>Invoerenploeg!$BS$18</f>
        <v>0</v>
      </c>
      <c r="D170" s="135">
        <f>Invoerenploeg!$BT$18</f>
        <v>0</v>
      </c>
      <c r="F170" s="142"/>
      <c r="G170" s="135"/>
      <c r="H170" s="135"/>
      <c r="I170" s="147"/>
      <c r="K170" s="152"/>
      <c r="L170" s="142"/>
      <c r="M170" s="148" t="s">
        <v>88</v>
      </c>
      <c r="N170" s="142">
        <f>Invoerenploeg!$C$2</f>
        <v>50</v>
      </c>
      <c r="O170" s="153" t="s">
        <v>81</v>
      </c>
      <c r="P170" s="154"/>
      <c r="Q170" s="7">
        <f>Invoerenploeg!$K$18</f>
      </c>
    </row>
    <row r="171" spans="2:17" ht="19.5" customHeight="1">
      <c r="B171" s="135">
        <f>Invoerenploeg!$BX$18</f>
        <v>0</v>
      </c>
      <c r="C171" s="135">
        <f>Invoerenploeg!$BV$18</f>
        <v>0</v>
      </c>
      <c r="D171" s="135">
        <f>Invoerenploeg!$BW$18</f>
        <v>0</v>
      </c>
      <c r="F171" s="142"/>
      <c r="G171" s="135"/>
      <c r="H171" s="135"/>
      <c r="I171" s="155">
        <f>Invoerenploeg!$F$18</f>
        <v>0</v>
      </c>
      <c r="K171" s="152"/>
      <c r="L171" s="142"/>
      <c r="M171" s="156" t="s">
        <v>17</v>
      </c>
      <c r="N171" s="142"/>
      <c r="O171" s="142"/>
      <c r="P171" s="143">
        <f>P165+P166</f>
        <v>0</v>
      </c>
      <c r="Q171" s="157"/>
    </row>
    <row r="172" spans="2:17" ht="19.5" customHeight="1">
      <c r="B172" s="135">
        <f>Invoerenploeg!$CA$18</f>
        <v>0</v>
      </c>
      <c r="C172" s="135">
        <f>Invoerenploeg!$BY$18</f>
        <v>0</v>
      </c>
      <c r="D172" s="135">
        <f>Invoerenploeg!$BZ$18</f>
        <v>0</v>
      </c>
      <c r="F172" s="142"/>
      <c r="G172" s="135"/>
      <c r="H172" s="135"/>
      <c r="I172" s="147"/>
      <c r="J172" s="156"/>
      <c r="K172" s="152"/>
      <c r="L172" s="142"/>
      <c r="M172" s="142"/>
      <c r="N172" s="142"/>
      <c r="O172" s="143"/>
      <c r="P172" s="143"/>
      <c r="Q172" s="7"/>
    </row>
    <row r="173" spans="2:17" ht="19.5" customHeight="1">
      <c r="B173" s="135">
        <f>Invoerenploeg!$CD$18</f>
        <v>0</v>
      </c>
      <c r="C173" s="135">
        <f>Invoerenploeg!$CB$18</f>
        <v>0</v>
      </c>
      <c r="D173" s="135">
        <f>Invoerenploeg!$CC$18</f>
        <v>0</v>
      </c>
      <c r="E173" s="135" t="s">
        <v>19</v>
      </c>
      <c r="F173" s="96"/>
      <c r="G173" s="96"/>
      <c r="H173" s="135">
        <f>Invoerenploeg!$CK$18</f>
        <v>0</v>
      </c>
      <c r="I173" s="96"/>
      <c r="J173" s="96"/>
      <c r="K173" s="96"/>
      <c r="L173" s="96"/>
      <c r="M173" s="96"/>
      <c r="N173" s="96"/>
      <c r="O173" s="143"/>
      <c r="P173" s="143"/>
      <c r="Q173" s="7"/>
    </row>
    <row r="174" spans="2:17" ht="19.5" customHeight="1">
      <c r="B174" s="135">
        <f>Invoerenploeg!$CG$18</f>
        <v>0</v>
      </c>
      <c r="C174" s="135">
        <f>Invoerenploeg!$CE$18</f>
        <v>0</v>
      </c>
      <c r="D174" s="135">
        <f>Invoerenploeg!$CF$18</f>
        <v>0</v>
      </c>
      <c r="E174" s="135" t="s">
        <v>20</v>
      </c>
      <c r="F174" s="96"/>
      <c r="G174" s="96"/>
      <c r="H174" s="135">
        <f>Invoerenploeg!$CL$18</f>
        <v>0</v>
      </c>
      <c r="I174" s="96"/>
      <c r="J174" s="96"/>
      <c r="K174" s="96"/>
      <c r="L174" s="96"/>
      <c r="M174" s="96"/>
      <c r="N174" s="96"/>
      <c r="O174" s="143"/>
      <c r="P174" s="143"/>
      <c r="Q174" s="7"/>
    </row>
    <row r="175" spans="2:17" ht="19.5" customHeight="1">
      <c r="B175" s="135">
        <f>Invoerenploeg!$CJ$18</f>
        <v>0</v>
      </c>
      <c r="C175" s="135">
        <f>Invoerenploeg!$CH$18</f>
        <v>0</v>
      </c>
      <c r="D175" s="135">
        <f>Invoerenploeg!$CI$18</f>
        <v>0</v>
      </c>
      <c r="F175" s="142"/>
      <c r="G175" s="135"/>
      <c r="H175" s="135"/>
      <c r="I175" s="147"/>
      <c r="J175" s="156"/>
      <c r="K175" s="152"/>
      <c r="L175" s="142"/>
      <c r="M175" s="142"/>
      <c r="N175" s="142"/>
      <c r="O175" s="143"/>
      <c r="P175" s="143"/>
      <c r="Q175" s="7"/>
    </row>
    <row r="176" ht="3" customHeight="1"/>
    <row r="177" spans="2:17" ht="19.5" customHeight="1">
      <c r="B177" s="155">
        <f>Invoerenploeg!$A$19</f>
        <v>15</v>
      </c>
      <c r="C177" s="161">
        <f>Invoerenploeg!$D$19</f>
        <v>0</v>
      </c>
      <c r="D177" s="125">
        <f>Invoerenploeg!$E$19</f>
        <v>0</v>
      </c>
      <c r="E177" s="268">
        <v>0.3</v>
      </c>
      <c r="F177" s="162"/>
      <c r="G177" s="162"/>
      <c r="H177" s="162"/>
      <c r="I177" s="163"/>
      <c r="J177" s="163"/>
      <c r="K177" s="136"/>
      <c r="L177" s="130" t="s">
        <v>79</v>
      </c>
      <c r="M177" s="164" t="s">
        <v>80</v>
      </c>
      <c r="N177" s="165">
        <f>Invoerenploeg!$C$1</f>
        <v>50</v>
      </c>
      <c r="O177" s="166" t="s">
        <v>81</v>
      </c>
      <c r="P177" s="167">
        <f>ROUND(Invoerenploeg!$DH$19*Invoerenploeg!$C$1/100,4)</f>
        <v>0</v>
      </c>
      <c r="Q177" s="49">
        <f>Invoerenploeg!$DL$19</f>
      </c>
    </row>
    <row r="178" spans="2:17" ht="19.5" customHeight="1">
      <c r="B178" s="135">
        <f>Invoerenploeg!$BI$19</f>
        <v>0</v>
      </c>
      <c r="C178" s="135">
        <f>Invoerenploeg!$BG$19</f>
        <v>0</v>
      </c>
      <c r="D178" s="135">
        <f>Invoerenploeg!$BH$19</f>
        <v>0</v>
      </c>
      <c r="E178" s="126">
        <v>0.4</v>
      </c>
      <c r="F178" s="127"/>
      <c r="G178" s="127"/>
      <c r="H178" s="127"/>
      <c r="I178" s="128"/>
      <c r="J178" s="128"/>
      <c r="K178" s="136"/>
      <c r="L178" s="137" t="s">
        <v>82</v>
      </c>
      <c r="M178" s="138" t="s">
        <v>83</v>
      </c>
      <c r="N178" s="139">
        <f>Invoerenploeg!$C$3</f>
        <v>0</v>
      </c>
      <c r="O178" s="140" t="s">
        <v>81</v>
      </c>
      <c r="P178" s="141">
        <f>ROUND(Invoerenploeg!$H$19*Invoerenploeg!$C$3/100,4)</f>
        <v>0</v>
      </c>
      <c r="Q178" s="7">
        <f>Invoerenploeg!$I$19</f>
      </c>
    </row>
    <row r="179" spans="2:17" ht="19.5" customHeight="1">
      <c r="B179" s="135">
        <f>Invoerenploeg!$BL$19</f>
        <v>0</v>
      </c>
      <c r="C179" s="135">
        <f>Invoerenploeg!$BJ$19</f>
        <v>0</v>
      </c>
      <c r="D179" s="135">
        <f>Invoerenploeg!$BK$19</f>
        <v>0</v>
      </c>
      <c r="E179" s="126">
        <v>0.3</v>
      </c>
      <c r="F179" s="127"/>
      <c r="G179" s="127"/>
      <c r="H179" s="127"/>
      <c r="I179" s="128"/>
      <c r="J179" s="128"/>
      <c r="K179" s="136"/>
      <c r="L179" s="137" t="s">
        <v>84</v>
      </c>
      <c r="M179" s="142"/>
      <c r="N179" s="142"/>
      <c r="O179" s="143"/>
      <c r="P179" s="143"/>
      <c r="Q179" s="7"/>
    </row>
    <row r="180" spans="2:17" ht="19.5" customHeight="1">
      <c r="B180" s="135">
        <f>Invoerenploeg!$BO$19</f>
        <v>0</v>
      </c>
      <c r="C180" s="135">
        <f>Invoerenploeg!$BM$19</f>
        <v>0</v>
      </c>
      <c r="D180" s="135">
        <f>Invoerenploeg!$BN$19</f>
        <v>0</v>
      </c>
      <c r="F180" s="142"/>
      <c r="G180" s="144"/>
      <c r="H180" s="144"/>
      <c r="I180" s="145"/>
      <c r="J180" s="145"/>
      <c r="K180" s="146">
        <f>SUM(K177:K179)</f>
        <v>0</v>
      </c>
      <c r="L180" s="142"/>
      <c r="M180" s="142"/>
      <c r="N180" s="142"/>
      <c r="O180" s="143"/>
      <c r="P180" s="143"/>
      <c r="Q180" s="7"/>
    </row>
    <row r="181" spans="2:17" ht="19.5" customHeight="1">
      <c r="B181" s="135">
        <f>Invoerenploeg!$BR$19</f>
        <v>0</v>
      </c>
      <c r="C181" s="135">
        <f>Invoerenploeg!$BP$19</f>
        <v>0</v>
      </c>
      <c r="D181" s="135">
        <f>Invoerenploeg!$BQ$19</f>
        <v>0</v>
      </c>
      <c r="F181" s="142"/>
      <c r="G181" s="135"/>
      <c r="H181" s="135"/>
      <c r="I181" s="147"/>
      <c r="J181" s="148" t="s">
        <v>85</v>
      </c>
      <c r="K181" s="149"/>
      <c r="L181" s="137" t="s">
        <v>86</v>
      </c>
      <c r="M181" s="142"/>
      <c r="N181" s="142"/>
      <c r="O181" s="143"/>
      <c r="P181" s="143"/>
      <c r="Q181" s="7"/>
    </row>
    <row r="182" spans="2:17" ht="19.5" customHeight="1">
      <c r="B182" s="135">
        <f>Invoerenploeg!$BU$19</f>
        <v>0</v>
      </c>
      <c r="C182" s="135">
        <f>Invoerenploeg!$BS$19</f>
        <v>0</v>
      </c>
      <c r="D182" s="135">
        <f>Invoerenploeg!$BT$19</f>
        <v>0</v>
      </c>
      <c r="F182" s="142"/>
      <c r="G182" s="135"/>
      <c r="H182" s="135"/>
      <c r="I182" s="147"/>
      <c r="K182" s="152"/>
      <c r="L182" s="142"/>
      <c r="M182" s="148" t="s">
        <v>88</v>
      </c>
      <c r="N182" s="142">
        <f>Invoerenploeg!$C$2</f>
        <v>50</v>
      </c>
      <c r="O182" s="153" t="s">
        <v>81</v>
      </c>
      <c r="P182" s="154"/>
      <c r="Q182" s="7">
        <f>Invoerenploeg!$K$19</f>
      </c>
    </row>
    <row r="183" spans="2:17" ht="19.5" customHeight="1">
      <c r="B183" s="135">
        <f>Invoerenploeg!$BX$19</f>
        <v>0</v>
      </c>
      <c r="C183" s="135">
        <f>Invoerenploeg!$BV$19</f>
        <v>0</v>
      </c>
      <c r="D183" s="135">
        <f>Invoerenploeg!$BW$19</f>
        <v>0</v>
      </c>
      <c r="F183" s="142"/>
      <c r="G183" s="135"/>
      <c r="H183" s="135"/>
      <c r="I183" s="155">
        <f>Invoerenploeg!$F$19</f>
        <v>0</v>
      </c>
      <c r="K183" s="152"/>
      <c r="L183" s="142"/>
      <c r="M183" s="156" t="s">
        <v>17</v>
      </c>
      <c r="N183" s="142"/>
      <c r="O183" s="142"/>
      <c r="P183" s="143">
        <f>P177+P178</f>
        <v>0</v>
      </c>
      <c r="Q183" s="157"/>
    </row>
    <row r="184" spans="2:17" ht="19.5" customHeight="1">
      <c r="B184" s="135">
        <f>Invoerenploeg!$CA$19</f>
        <v>0</v>
      </c>
      <c r="C184" s="135">
        <f>Invoerenploeg!$BY$19</f>
        <v>0</v>
      </c>
      <c r="D184" s="135">
        <f>Invoerenploeg!$BZ$19</f>
        <v>0</v>
      </c>
      <c r="F184" s="142"/>
      <c r="G184" s="135"/>
      <c r="H184" s="135"/>
      <c r="I184" s="147"/>
      <c r="J184" s="156"/>
      <c r="K184" s="152"/>
      <c r="L184" s="142"/>
      <c r="M184" s="142"/>
      <c r="N184" s="142"/>
      <c r="O184" s="143"/>
      <c r="P184" s="143"/>
      <c r="Q184" s="7"/>
    </row>
    <row r="185" spans="2:17" ht="19.5" customHeight="1">
      <c r="B185" s="135">
        <f>Invoerenploeg!$CD$19</f>
        <v>0</v>
      </c>
      <c r="C185" s="135">
        <f>Invoerenploeg!$CB$19</f>
        <v>0</v>
      </c>
      <c r="D185" s="135">
        <f>Invoerenploeg!$CC$19</f>
        <v>0</v>
      </c>
      <c r="E185" s="135" t="s">
        <v>19</v>
      </c>
      <c r="F185" s="96"/>
      <c r="G185" s="96"/>
      <c r="H185" s="135">
        <f>Invoerenploeg!$CK$19</f>
        <v>0</v>
      </c>
      <c r="I185" s="96"/>
      <c r="J185" s="96"/>
      <c r="K185" s="96"/>
      <c r="L185" s="96"/>
      <c r="M185" s="96"/>
      <c r="N185" s="96"/>
      <c r="O185" s="143"/>
      <c r="P185" s="143"/>
      <c r="Q185" s="7"/>
    </row>
    <row r="186" spans="2:17" ht="19.5" customHeight="1">
      <c r="B186" s="135">
        <f>Invoerenploeg!$CG$19</f>
        <v>0</v>
      </c>
      <c r="C186" s="135">
        <f>Invoerenploeg!$CE$19</f>
        <v>0</v>
      </c>
      <c r="D186" s="135">
        <f>Invoerenploeg!$CF$19</f>
        <v>0</v>
      </c>
      <c r="E186" s="135" t="s">
        <v>20</v>
      </c>
      <c r="F186" s="96"/>
      <c r="G186" s="96"/>
      <c r="H186" s="135">
        <f>Invoerenploeg!$CL$19</f>
        <v>0</v>
      </c>
      <c r="I186" s="96"/>
      <c r="J186" s="96"/>
      <c r="K186" s="96"/>
      <c r="L186" s="96"/>
      <c r="M186" s="96"/>
      <c r="N186" s="96"/>
      <c r="O186" s="143"/>
      <c r="P186" s="143"/>
      <c r="Q186" s="7"/>
    </row>
    <row r="187" spans="2:17" ht="19.5" customHeight="1">
      <c r="B187" s="135">
        <f>Invoerenploeg!$CJ$19</f>
        <v>0</v>
      </c>
      <c r="C187" s="135">
        <f>Invoerenploeg!$CH$19</f>
        <v>0</v>
      </c>
      <c r="D187" s="135">
        <f>Invoerenploeg!$CI$19</f>
        <v>0</v>
      </c>
      <c r="F187" s="142"/>
      <c r="G187" s="135"/>
      <c r="H187" s="135"/>
      <c r="I187" s="147"/>
      <c r="J187" s="156"/>
      <c r="K187" s="152"/>
      <c r="L187" s="142"/>
      <c r="M187" s="142"/>
      <c r="N187" s="142"/>
      <c r="O187" s="143"/>
      <c r="P187" s="143"/>
      <c r="Q187" s="7"/>
    </row>
    <row r="188" ht="3" customHeight="1"/>
    <row r="189" spans="2:17" ht="19.5" customHeight="1">
      <c r="B189" s="155">
        <f>Invoerenploeg!$A$20</f>
        <v>16</v>
      </c>
      <c r="C189" s="161">
        <f>Invoerenploeg!$D$20</f>
        <v>0</v>
      </c>
      <c r="D189" s="125">
        <f>Invoerenploeg!$E$20</f>
        <v>0</v>
      </c>
      <c r="E189" s="268">
        <v>0.3</v>
      </c>
      <c r="F189" s="162"/>
      <c r="G189" s="162"/>
      <c r="H189" s="162"/>
      <c r="I189" s="163"/>
      <c r="J189" s="163"/>
      <c r="K189" s="136"/>
      <c r="L189" s="130" t="s">
        <v>79</v>
      </c>
      <c r="M189" s="164" t="s">
        <v>80</v>
      </c>
      <c r="N189" s="165">
        <f>Invoerenploeg!$C$1</f>
        <v>50</v>
      </c>
      <c r="O189" s="166" t="s">
        <v>81</v>
      </c>
      <c r="P189" s="167">
        <f>ROUND(Invoerenploeg!$DH$20*Invoerenploeg!$C$1/100,4)</f>
        <v>0</v>
      </c>
      <c r="Q189" s="49">
        <f>Invoerenploeg!$DL$20</f>
      </c>
    </row>
    <row r="190" spans="2:17" ht="19.5" customHeight="1">
      <c r="B190" s="135">
        <f>Invoerenploeg!$BI$20</f>
        <v>0</v>
      </c>
      <c r="C190" s="135">
        <f>Invoerenploeg!$BG$20</f>
        <v>0</v>
      </c>
      <c r="D190" s="135">
        <f>Invoerenploeg!$BH$20</f>
        <v>0</v>
      </c>
      <c r="E190" s="126">
        <v>0.4</v>
      </c>
      <c r="F190" s="127"/>
      <c r="G190" s="127"/>
      <c r="H190" s="127"/>
      <c r="I190" s="128"/>
      <c r="J190" s="128"/>
      <c r="K190" s="136"/>
      <c r="L190" s="137" t="s">
        <v>82</v>
      </c>
      <c r="M190" s="138" t="s">
        <v>83</v>
      </c>
      <c r="N190" s="139">
        <f>Invoerenploeg!$C$3</f>
        <v>0</v>
      </c>
      <c r="O190" s="140" t="s">
        <v>81</v>
      </c>
      <c r="P190" s="141">
        <f>ROUND(Invoerenploeg!$H$20*Invoerenploeg!$C$3/100,4)</f>
        <v>0</v>
      </c>
      <c r="Q190" s="7">
        <f>Invoerenploeg!$I$20</f>
      </c>
    </row>
    <row r="191" spans="2:17" ht="19.5" customHeight="1">
      <c r="B191" s="135">
        <f>Invoerenploeg!$BL$20</f>
        <v>0</v>
      </c>
      <c r="C191" s="135">
        <f>Invoerenploeg!$BJ$20</f>
        <v>0</v>
      </c>
      <c r="D191" s="135">
        <f>Invoerenploeg!$BK$20</f>
        <v>0</v>
      </c>
      <c r="E191" s="126">
        <v>0.3</v>
      </c>
      <c r="F191" s="127"/>
      <c r="G191" s="127"/>
      <c r="H191" s="127"/>
      <c r="I191" s="128"/>
      <c r="J191" s="128"/>
      <c r="K191" s="136"/>
      <c r="L191" s="137" t="s">
        <v>84</v>
      </c>
      <c r="M191" s="142"/>
      <c r="N191" s="142"/>
      <c r="O191" s="143"/>
      <c r="P191" s="143"/>
      <c r="Q191" s="7"/>
    </row>
    <row r="192" spans="2:17" ht="19.5" customHeight="1">
      <c r="B192" s="135">
        <f>Invoerenploeg!$BO$20</f>
        <v>0</v>
      </c>
      <c r="C192" s="135">
        <f>Invoerenploeg!$BM$20</f>
        <v>0</v>
      </c>
      <c r="D192" s="135">
        <f>Invoerenploeg!$BN$20</f>
        <v>0</v>
      </c>
      <c r="F192" s="142"/>
      <c r="G192" s="144"/>
      <c r="H192" s="144"/>
      <c r="I192" s="145"/>
      <c r="J192" s="145"/>
      <c r="K192" s="146">
        <f>SUM(K189:K191)</f>
        <v>0</v>
      </c>
      <c r="L192" s="142"/>
      <c r="M192" s="142"/>
      <c r="N192" s="142"/>
      <c r="O192" s="143"/>
      <c r="P192" s="143"/>
      <c r="Q192" s="7"/>
    </row>
    <row r="193" spans="2:17" ht="19.5" customHeight="1">
      <c r="B193" s="135">
        <f>Invoerenploeg!$BR$20</f>
        <v>0</v>
      </c>
      <c r="C193" s="135">
        <f>Invoerenploeg!$BP$20</f>
        <v>0</v>
      </c>
      <c r="D193" s="135">
        <f>Invoerenploeg!$BQ$20</f>
        <v>0</v>
      </c>
      <c r="F193" s="142"/>
      <c r="G193" s="135"/>
      <c r="H193" s="135"/>
      <c r="I193" s="147"/>
      <c r="J193" s="148" t="s">
        <v>85</v>
      </c>
      <c r="K193" s="149"/>
      <c r="L193" s="137" t="s">
        <v>86</v>
      </c>
      <c r="M193" s="142"/>
      <c r="N193" s="142"/>
      <c r="O193" s="143"/>
      <c r="P193" s="143"/>
      <c r="Q193" s="7"/>
    </row>
    <row r="194" spans="2:17" ht="19.5" customHeight="1">
      <c r="B194" s="135">
        <f>Invoerenploeg!$BU$20</f>
        <v>0</v>
      </c>
      <c r="C194" s="135">
        <f>Invoerenploeg!$BS$20</f>
        <v>0</v>
      </c>
      <c r="D194" s="135">
        <f>Invoerenploeg!$BT$20</f>
        <v>0</v>
      </c>
      <c r="F194" s="142"/>
      <c r="G194" s="135"/>
      <c r="H194" s="135"/>
      <c r="I194" s="147"/>
      <c r="K194" s="152"/>
      <c r="L194" s="142"/>
      <c r="M194" s="148" t="s">
        <v>88</v>
      </c>
      <c r="N194" s="142">
        <f>Invoerenploeg!$C$2</f>
        <v>50</v>
      </c>
      <c r="O194" s="153" t="s">
        <v>81</v>
      </c>
      <c r="P194" s="154"/>
      <c r="Q194" s="7">
        <f>Invoerenploeg!$K$20</f>
      </c>
    </row>
    <row r="195" spans="2:17" ht="19.5" customHeight="1">
      <c r="B195" s="135">
        <f>Invoerenploeg!$BX$20</f>
        <v>0</v>
      </c>
      <c r="C195" s="135">
        <f>Invoerenploeg!$BV$20</f>
        <v>0</v>
      </c>
      <c r="D195" s="135">
        <f>Invoerenploeg!$BW$20</f>
        <v>0</v>
      </c>
      <c r="F195" s="142"/>
      <c r="G195" s="135"/>
      <c r="H195" s="135"/>
      <c r="I195" s="155">
        <f>Invoerenploeg!$F$20</f>
        <v>0</v>
      </c>
      <c r="K195" s="152"/>
      <c r="L195" s="142"/>
      <c r="M195" s="156" t="s">
        <v>17</v>
      </c>
      <c r="N195" s="142"/>
      <c r="O195" s="142"/>
      <c r="P195" s="143">
        <f>P189+P190</f>
        <v>0</v>
      </c>
      <c r="Q195" s="157"/>
    </row>
    <row r="196" spans="2:17" ht="19.5" customHeight="1">
      <c r="B196" s="135">
        <f>Invoerenploeg!$CA$20</f>
        <v>0</v>
      </c>
      <c r="C196" s="135">
        <f>Invoerenploeg!$BY$20</f>
        <v>0</v>
      </c>
      <c r="D196" s="135">
        <f>Invoerenploeg!$BZ$20</f>
        <v>0</v>
      </c>
      <c r="F196" s="142"/>
      <c r="G196" s="135"/>
      <c r="H196" s="135"/>
      <c r="I196" s="147"/>
      <c r="J196" s="156"/>
      <c r="K196" s="152"/>
      <c r="L196" s="142"/>
      <c r="M196" s="142"/>
      <c r="N196" s="142"/>
      <c r="O196" s="143"/>
      <c r="P196" s="143"/>
      <c r="Q196" s="7"/>
    </row>
    <row r="197" spans="2:17" ht="19.5" customHeight="1">
      <c r="B197" s="135">
        <f>Invoerenploeg!$CD$20</f>
        <v>0</v>
      </c>
      <c r="C197" s="135">
        <f>Invoerenploeg!$CB$20</f>
        <v>0</v>
      </c>
      <c r="D197" s="135">
        <f>Invoerenploeg!$CC$20</f>
        <v>0</v>
      </c>
      <c r="E197" s="135" t="s">
        <v>19</v>
      </c>
      <c r="F197" s="96"/>
      <c r="G197" s="96"/>
      <c r="H197" s="135">
        <f>Invoerenploeg!$CK$20</f>
        <v>0</v>
      </c>
      <c r="I197" s="96"/>
      <c r="J197" s="96"/>
      <c r="K197" s="96"/>
      <c r="L197" s="96"/>
      <c r="M197" s="96"/>
      <c r="N197" s="96"/>
      <c r="O197" s="143"/>
      <c r="P197" s="143"/>
      <c r="Q197" s="7"/>
    </row>
    <row r="198" spans="2:17" ht="19.5" customHeight="1">
      <c r="B198" s="135">
        <f>Invoerenploeg!$CG$20</f>
        <v>0</v>
      </c>
      <c r="C198" s="135">
        <f>Invoerenploeg!$CE$20</f>
        <v>0</v>
      </c>
      <c r="D198" s="135">
        <f>Invoerenploeg!$CF$20</f>
        <v>0</v>
      </c>
      <c r="E198" s="135" t="s">
        <v>20</v>
      </c>
      <c r="F198" s="96"/>
      <c r="G198" s="96"/>
      <c r="H198" s="135">
        <f>Invoerenploeg!$CL$20</f>
        <v>0</v>
      </c>
      <c r="I198" s="96"/>
      <c r="J198" s="96"/>
      <c r="K198" s="96"/>
      <c r="L198" s="96"/>
      <c r="M198" s="96"/>
      <c r="N198" s="96"/>
      <c r="O198" s="143"/>
      <c r="P198" s="143"/>
      <c r="Q198" s="7"/>
    </row>
    <row r="199" spans="2:17" ht="19.5" customHeight="1">
      <c r="B199" s="135">
        <f>Invoerenploeg!$CJ$20</f>
        <v>0</v>
      </c>
      <c r="C199" s="135">
        <f>Invoerenploeg!$CH$20</f>
        <v>0</v>
      </c>
      <c r="D199" s="135">
        <f>Invoerenploeg!$CI$20</f>
        <v>0</v>
      </c>
      <c r="F199" s="142"/>
      <c r="G199" s="135"/>
      <c r="H199" s="135"/>
      <c r="I199" s="147"/>
      <c r="J199" s="156"/>
      <c r="K199" s="152"/>
      <c r="L199" s="142"/>
      <c r="M199" s="142"/>
      <c r="N199" s="142"/>
      <c r="O199" s="143"/>
      <c r="P199" s="143"/>
      <c r="Q199" s="7"/>
    </row>
    <row r="200" ht="3" customHeight="1"/>
    <row r="201" spans="2:17" ht="19.5" customHeight="1">
      <c r="B201" s="155">
        <f>Invoerenploeg!$A$21</f>
        <v>17</v>
      </c>
      <c r="C201" s="161">
        <f>Invoerenploeg!$D$21</f>
        <v>0</v>
      </c>
      <c r="D201" s="125">
        <f>Invoerenploeg!$E$21</f>
        <v>0</v>
      </c>
      <c r="E201" s="268">
        <v>0.3</v>
      </c>
      <c r="F201" s="162"/>
      <c r="G201" s="162"/>
      <c r="H201" s="162"/>
      <c r="I201" s="163"/>
      <c r="J201" s="163"/>
      <c r="K201" s="136"/>
      <c r="L201" s="130" t="s">
        <v>79</v>
      </c>
      <c r="M201" s="164" t="s">
        <v>80</v>
      </c>
      <c r="N201" s="165">
        <f>Invoerenploeg!$C$1</f>
        <v>50</v>
      </c>
      <c r="O201" s="166" t="s">
        <v>81</v>
      </c>
      <c r="P201" s="167">
        <f>ROUND(Invoerenploeg!$DH$21*Invoerenploeg!$C$1/100,4)</f>
        <v>0</v>
      </c>
      <c r="Q201" s="49">
        <f>Invoerenploeg!$DL$21</f>
      </c>
    </row>
    <row r="202" spans="2:17" ht="19.5" customHeight="1">
      <c r="B202" s="135">
        <f>Invoerenploeg!$BI$21</f>
        <v>0</v>
      </c>
      <c r="C202" s="135">
        <f>Invoerenploeg!$BG$21</f>
        <v>0</v>
      </c>
      <c r="D202" s="135">
        <f>Invoerenploeg!$BH$21</f>
        <v>0</v>
      </c>
      <c r="E202" s="126">
        <v>0.4</v>
      </c>
      <c r="F202" s="127"/>
      <c r="G202" s="127"/>
      <c r="H202" s="127"/>
      <c r="I202" s="128"/>
      <c r="J202" s="128"/>
      <c r="K202" s="136"/>
      <c r="L202" s="137" t="s">
        <v>82</v>
      </c>
      <c r="M202" s="138" t="s">
        <v>83</v>
      </c>
      <c r="N202" s="139">
        <f>Invoerenploeg!$C$3</f>
        <v>0</v>
      </c>
      <c r="O202" s="140" t="s">
        <v>81</v>
      </c>
      <c r="P202" s="141">
        <f>ROUND(Invoerenploeg!$H$21*Invoerenploeg!$C$3/100,4)</f>
        <v>0</v>
      </c>
      <c r="Q202" s="7">
        <f>Invoerenploeg!$I$21</f>
      </c>
    </row>
    <row r="203" spans="2:17" ht="19.5" customHeight="1">
      <c r="B203" s="135">
        <f>Invoerenploeg!$BL$21</f>
        <v>0</v>
      </c>
      <c r="C203" s="135">
        <f>Invoerenploeg!$BJ$21</f>
        <v>0</v>
      </c>
      <c r="D203" s="135">
        <f>Invoerenploeg!$BK$21</f>
        <v>0</v>
      </c>
      <c r="E203" s="126">
        <v>0.3</v>
      </c>
      <c r="F203" s="127"/>
      <c r="G203" s="127"/>
      <c r="H203" s="127"/>
      <c r="I203" s="128"/>
      <c r="J203" s="128"/>
      <c r="K203" s="136"/>
      <c r="L203" s="137" t="s">
        <v>84</v>
      </c>
      <c r="M203" s="142"/>
      <c r="N203" s="142"/>
      <c r="O203" s="143"/>
      <c r="P203" s="143"/>
      <c r="Q203" s="7"/>
    </row>
    <row r="204" spans="2:17" ht="19.5" customHeight="1">
      <c r="B204" s="135">
        <f>Invoerenploeg!$BO$21</f>
        <v>0</v>
      </c>
      <c r="C204" s="135">
        <f>Invoerenploeg!$BM$21</f>
        <v>0</v>
      </c>
      <c r="D204" s="135">
        <f>Invoerenploeg!$BN$21</f>
        <v>0</v>
      </c>
      <c r="F204" s="142"/>
      <c r="G204" s="144"/>
      <c r="H204" s="144"/>
      <c r="I204" s="145"/>
      <c r="J204" s="145"/>
      <c r="K204" s="146">
        <f>SUM(K201:K203)</f>
        <v>0</v>
      </c>
      <c r="L204" s="142"/>
      <c r="M204" s="142"/>
      <c r="N204" s="142"/>
      <c r="O204" s="143"/>
      <c r="P204" s="143"/>
      <c r="Q204" s="7"/>
    </row>
    <row r="205" spans="2:17" ht="19.5" customHeight="1">
      <c r="B205" s="135">
        <f>Invoerenploeg!$BR$21</f>
        <v>0</v>
      </c>
      <c r="C205" s="135">
        <f>Invoerenploeg!$BP$21</f>
        <v>0</v>
      </c>
      <c r="D205" s="135">
        <f>Invoerenploeg!$BQ$21</f>
        <v>0</v>
      </c>
      <c r="F205" s="142"/>
      <c r="G205" s="135"/>
      <c r="H205" s="135"/>
      <c r="I205" s="147"/>
      <c r="J205" s="148" t="s">
        <v>85</v>
      </c>
      <c r="K205" s="149"/>
      <c r="L205" s="137" t="s">
        <v>86</v>
      </c>
      <c r="M205" s="142"/>
      <c r="N205" s="142"/>
      <c r="O205" s="143"/>
      <c r="P205" s="143"/>
      <c r="Q205" s="7"/>
    </row>
    <row r="206" spans="2:17" ht="19.5" customHeight="1">
      <c r="B206" s="135">
        <f>Invoerenploeg!$BU$21</f>
        <v>0</v>
      </c>
      <c r="C206" s="135">
        <f>Invoerenploeg!$BS$21</f>
        <v>0</v>
      </c>
      <c r="D206" s="135">
        <f>Invoerenploeg!$BT$21</f>
        <v>0</v>
      </c>
      <c r="F206" s="142"/>
      <c r="G206" s="135"/>
      <c r="H206" s="135"/>
      <c r="I206" s="147"/>
      <c r="K206" s="152"/>
      <c r="L206" s="142"/>
      <c r="M206" s="148" t="s">
        <v>88</v>
      </c>
      <c r="N206" s="142">
        <f>Invoerenploeg!$C$2</f>
        <v>50</v>
      </c>
      <c r="O206" s="153" t="s">
        <v>81</v>
      </c>
      <c r="P206" s="154"/>
      <c r="Q206" s="7">
        <f>Invoerenploeg!$K$21</f>
      </c>
    </row>
    <row r="207" spans="2:17" ht="19.5" customHeight="1">
      <c r="B207" s="135">
        <f>Invoerenploeg!$BX$21</f>
        <v>0</v>
      </c>
      <c r="C207" s="135">
        <f>Invoerenploeg!$BV$21</f>
        <v>0</v>
      </c>
      <c r="D207" s="135">
        <f>Invoerenploeg!$BW$21</f>
        <v>0</v>
      </c>
      <c r="F207" s="142"/>
      <c r="G207" s="135"/>
      <c r="H207" s="135"/>
      <c r="I207" s="155">
        <f>Invoerenploeg!$F$21</f>
        <v>0</v>
      </c>
      <c r="K207" s="152"/>
      <c r="L207" s="142"/>
      <c r="M207" s="156" t="s">
        <v>17</v>
      </c>
      <c r="N207" s="142"/>
      <c r="O207" s="142"/>
      <c r="P207" s="143">
        <f>P201+P202</f>
        <v>0</v>
      </c>
      <c r="Q207" s="157"/>
    </row>
    <row r="208" spans="2:17" ht="19.5" customHeight="1">
      <c r="B208" s="135">
        <f>Invoerenploeg!$CA$21</f>
        <v>0</v>
      </c>
      <c r="C208" s="135">
        <f>Invoerenploeg!$BY$21</f>
        <v>0</v>
      </c>
      <c r="D208" s="135">
        <f>Invoerenploeg!$BZ$21</f>
        <v>0</v>
      </c>
      <c r="F208" s="142"/>
      <c r="G208" s="135"/>
      <c r="H208" s="135"/>
      <c r="I208" s="147"/>
      <c r="J208" s="156"/>
      <c r="K208" s="152"/>
      <c r="L208" s="142"/>
      <c r="M208" s="142"/>
      <c r="N208" s="142"/>
      <c r="O208" s="143"/>
      <c r="P208" s="143"/>
      <c r="Q208" s="7"/>
    </row>
    <row r="209" spans="2:17" ht="19.5" customHeight="1">
      <c r="B209" s="135">
        <f>Invoerenploeg!$CD$21</f>
        <v>0</v>
      </c>
      <c r="C209" s="135">
        <f>Invoerenploeg!$CB$21</f>
        <v>0</v>
      </c>
      <c r="D209" s="135">
        <f>Invoerenploeg!$CC$21</f>
        <v>0</v>
      </c>
      <c r="E209" s="135" t="s">
        <v>19</v>
      </c>
      <c r="F209" s="96"/>
      <c r="G209" s="96"/>
      <c r="H209" s="135">
        <f>Invoerenploeg!$CK$21</f>
        <v>0</v>
      </c>
      <c r="I209" s="96"/>
      <c r="J209" s="96"/>
      <c r="K209" s="96"/>
      <c r="L209" s="96"/>
      <c r="M209" s="96"/>
      <c r="N209" s="96"/>
      <c r="O209" s="143"/>
      <c r="P209" s="143"/>
      <c r="Q209" s="7"/>
    </row>
    <row r="210" spans="2:17" ht="19.5" customHeight="1">
      <c r="B210" s="135">
        <f>Invoerenploeg!$CG$21</f>
        <v>0</v>
      </c>
      <c r="C210" s="135">
        <f>Invoerenploeg!$CE$21</f>
        <v>0</v>
      </c>
      <c r="D210" s="135">
        <f>Invoerenploeg!$CF$21</f>
        <v>0</v>
      </c>
      <c r="E210" s="135" t="s">
        <v>20</v>
      </c>
      <c r="F210" s="96"/>
      <c r="G210" s="96"/>
      <c r="H210" s="135">
        <f>Invoerenploeg!$CL$21</f>
        <v>0</v>
      </c>
      <c r="I210" s="96"/>
      <c r="J210" s="96"/>
      <c r="K210" s="96"/>
      <c r="L210" s="96"/>
      <c r="M210" s="96"/>
      <c r="N210" s="96"/>
      <c r="O210" s="143"/>
      <c r="P210" s="143"/>
      <c r="Q210" s="7"/>
    </row>
    <row r="211" spans="2:17" ht="19.5" customHeight="1">
      <c r="B211" s="135">
        <f>Invoerenploeg!$CJ$21</f>
        <v>0</v>
      </c>
      <c r="C211" s="135">
        <f>Invoerenploeg!$CH$21</f>
        <v>0</v>
      </c>
      <c r="D211" s="135">
        <f>Invoerenploeg!$CI$21</f>
        <v>0</v>
      </c>
      <c r="F211" s="142"/>
      <c r="G211" s="135"/>
      <c r="H211" s="135"/>
      <c r="I211" s="147"/>
      <c r="J211" s="156"/>
      <c r="K211" s="152"/>
      <c r="L211" s="142"/>
      <c r="M211" s="142"/>
      <c r="N211" s="142"/>
      <c r="O211" s="143"/>
      <c r="P211" s="143"/>
      <c r="Q211" s="7"/>
    </row>
    <row r="212" ht="3" customHeight="1"/>
    <row r="213" spans="2:17" ht="19.5" customHeight="1">
      <c r="B213" s="155">
        <f>Invoerenploeg!$A$22</f>
        <v>18</v>
      </c>
      <c r="C213" s="161">
        <f>Invoerenploeg!$D$22</f>
        <v>0</v>
      </c>
      <c r="D213" s="125">
        <f>Invoerenploeg!$E$22</f>
        <v>0</v>
      </c>
      <c r="E213" s="268">
        <v>0.3</v>
      </c>
      <c r="F213" s="162"/>
      <c r="G213" s="162"/>
      <c r="H213" s="162"/>
      <c r="I213" s="163"/>
      <c r="J213" s="163"/>
      <c r="K213" s="136"/>
      <c r="L213" s="130" t="s">
        <v>79</v>
      </c>
      <c r="M213" s="164" t="s">
        <v>80</v>
      </c>
      <c r="N213" s="165">
        <f>Invoerenploeg!$C$1</f>
        <v>50</v>
      </c>
      <c r="O213" s="166" t="s">
        <v>81</v>
      </c>
      <c r="P213" s="167">
        <f>ROUND(Invoerenploeg!$DH$22*Invoerenploeg!$C$1/100,4)</f>
        <v>0</v>
      </c>
      <c r="Q213" s="49">
        <f>Invoerenploeg!$DL$22</f>
      </c>
    </row>
    <row r="214" spans="2:17" ht="19.5" customHeight="1">
      <c r="B214" s="135">
        <f>Invoerenploeg!$BI$22</f>
        <v>0</v>
      </c>
      <c r="C214" s="135">
        <f>Invoerenploeg!$BG$22</f>
        <v>0</v>
      </c>
      <c r="D214" s="135">
        <f>Invoerenploeg!$BH$22</f>
        <v>0</v>
      </c>
      <c r="E214" s="126">
        <v>0.4</v>
      </c>
      <c r="F214" s="127"/>
      <c r="G214" s="127"/>
      <c r="H214" s="127"/>
      <c r="I214" s="128"/>
      <c r="J214" s="128"/>
      <c r="K214" s="136"/>
      <c r="L214" s="137" t="s">
        <v>82</v>
      </c>
      <c r="M214" s="138" t="s">
        <v>83</v>
      </c>
      <c r="N214" s="139">
        <f>Invoerenploeg!$C$3</f>
        <v>0</v>
      </c>
      <c r="O214" s="140" t="s">
        <v>81</v>
      </c>
      <c r="P214" s="141">
        <f>ROUND(Invoerenploeg!$H$22*Invoerenploeg!$C$3/100,4)</f>
        <v>0</v>
      </c>
      <c r="Q214" s="7">
        <f>Invoerenploeg!$I$22</f>
      </c>
    </row>
    <row r="215" spans="2:17" ht="19.5" customHeight="1">
      <c r="B215" s="135">
        <f>Invoerenploeg!$BL$22</f>
        <v>0</v>
      </c>
      <c r="C215" s="135">
        <f>Invoerenploeg!$BJ$22</f>
        <v>0</v>
      </c>
      <c r="D215" s="135">
        <f>Invoerenploeg!$BK$22</f>
        <v>0</v>
      </c>
      <c r="E215" s="126">
        <v>0.3</v>
      </c>
      <c r="F215" s="127"/>
      <c r="G215" s="127"/>
      <c r="H215" s="127"/>
      <c r="I215" s="128"/>
      <c r="J215" s="128"/>
      <c r="K215" s="136"/>
      <c r="L215" s="137" t="s">
        <v>84</v>
      </c>
      <c r="M215" s="142"/>
      <c r="N215" s="142"/>
      <c r="O215" s="143"/>
      <c r="P215" s="143"/>
      <c r="Q215" s="7"/>
    </row>
    <row r="216" spans="2:17" ht="19.5" customHeight="1">
      <c r="B216" s="135">
        <f>Invoerenploeg!$BO$22</f>
        <v>0</v>
      </c>
      <c r="C216" s="135">
        <f>Invoerenploeg!$BM$22</f>
        <v>0</v>
      </c>
      <c r="D216" s="135">
        <f>Invoerenploeg!$BN$22</f>
        <v>0</v>
      </c>
      <c r="F216" s="142"/>
      <c r="G216" s="144"/>
      <c r="H216" s="144"/>
      <c r="I216" s="145"/>
      <c r="J216" s="145"/>
      <c r="K216" s="146">
        <f>SUM(K213:K215)</f>
        <v>0</v>
      </c>
      <c r="L216" s="142"/>
      <c r="M216" s="142"/>
      <c r="N216" s="142"/>
      <c r="O216" s="143"/>
      <c r="P216" s="143"/>
      <c r="Q216" s="7"/>
    </row>
    <row r="217" spans="2:17" ht="19.5" customHeight="1">
      <c r="B217" s="135">
        <f>Invoerenploeg!$BR$22</f>
        <v>0</v>
      </c>
      <c r="C217" s="135">
        <f>Invoerenploeg!$BP$22</f>
        <v>0</v>
      </c>
      <c r="D217" s="135">
        <f>Invoerenploeg!$BQ$22</f>
        <v>0</v>
      </c>
      <c r="F217" s="142"/>
      <c r="G217" s="135"/>
      <c r="H217" s="135"/>
      <c r="I217" s="147"/>
      <c r="J217" s="148" t="s">
        <v>85</v>
      </c>
      <c r="K217" s="149"/>
      <c r="L217" s="137" t="s">
        <v>86</v>
      </c>
      <c r="M217" s="142"/>
      <c r="N217" s="142"/>
      <c r="O217" s="143"/>
      <c r="P217" s="143"/>
      <c r="Q217" s="7"/>
    </row>
    <row r="218" spans="2:17" ht="19.5" customHeight="1">
      <c r="B218" s="135">
        <f>Invoerenploeg!$BU$22</f>
        <v>0</v>
      </c>
      <c r="C218" s="135">
        <f>Invoerenploeg!$BS$22</f>
        <v>0</v>
      </c>
      <c r="D218" s="135">
        <f>Invoerenploeg!$BT$22</f>
        <v>0</v>
      </c>
      <c r="F218" s="142"/>
      <c r="G218" s="135"/>
      <c r="H218" s="135"/>
      <c r="I218" s="147"/>
      <c r="K218" s="152"/>
      <c r="L218" s="142"/>
      <c r="M218" s="148" t="s">
        <v>88</v>
      </c>
      <c r="N218" s="142">
        <f>Invoerenploeg!$C$2</f>
        <v>50</v>
      </c>
      <c r="O218" s="153" t="s">
        <v>81</v>
      </c>
      <c r="P218" s="154"/>
      <c r="Q218" s="7">
        <f>Invoerenploeg!$K$22</f>
      </c>
    </row>
    <row r="219" spans="2:17" ht="19.5" customHeight="1">
      <c r="B219" s="135">
        <f>Invoerenploeg!$BX$22</f>
        <v>0</v>
      </c>
      <c r="C219" s="135">
        <f>Invoerenploeg!$BV$22</f>
        <v>0</v>
      </c>
      <c r="D219" s="135">
        <f>Invoerenploeg!$BW$22</f>
        <v>0</v>
      </c>
      <c r="F219" s="142"/>
      <c r="G219" s="135"/>
      <c r="H219" s="135"/>
      <c r="I219" s="155">
        <f>Invoerenploeg!$F$22</f>
        <v>0</v>
      </c>
      <c r="K219" s="152"/>
      <c r="L219" s="142"/>
      <c r="M219" s="156" t="s">
        <v>17</v>
      </c>
      <c r="N219" s="142"/>
      <c r="O219" s="142"/>
      <c r="P219" s="143">
        <f>P213+P214</f>
        <v>0</v>
      </c>
      <c r="Q219" s="157"/>
    </row>
    <row r="220" spans="2:17" ht="19.5" customHeight="1">
      <c r="B220" s="135">
        <f>Invoerenploeg!$CA$22</f>
        <v>0</v>
      </c>
      <c r="C220" s="135">
        <f>Invoerenploeg!$BY$22</f>
        <v>0</v>
      </c>
      <c r="D220" s="135">
        <f>Invoerenploeg!$BZ$22</f>
        <v>0</v>
      </c>
      <c r="F220" s="142"/>
      <c r="G220" s="135"/>
      <c r="H220" s="135"/>
      <c r="I220" s="147"/>
      <c r="J220" s="156"/>
      <c r="K220" s="152"/>
      <c r="L220" s="142"/>
      <c r="M220" s="142"/>
      <c r="N220" s="142"/>
      <c r="O220" s="143"/>
      <c r="P220" s="143"/>
      <c r="Q220" s="7"/>
    </row>
    <row r="221" spans="2:17" ht="19.5" customHeight="1">
      <c r="B221" s="135">
        <f>Invoerenploeg!$CD$22</f>
        <v>0</v>
      </c>
      <c r="C221" s="135">
        <f>Invoerenploeg!$CB$22</f>
        <v>0</v>
      </c>
      <c r="D221" s="135">
        <f>Invoerenploeg!$CC$22</f>
        <v>0</v>
      </c>
      <c r="E221" s="135" t="s">
        <v>19</v>
      </c>
      <c r="F221" s="96"/>
      <c r="G221" s="96"/>
      <c r="H221" s="135">
        <f>Invoerenploeg!$CK$22</f>
        <v>0</v>
      </c>
      <c r="I221" s="96"/>
      <c r="J221" s="96"/>
      <c r="K221" s="96"/>
      <c r="L221" s="96"/>
      <c r="M221" s="96"/>
      <c r="N221" s="96"/>
      <c r="O221" s="143"/>
      <c r="P221" s="143"/>
      <c r="Q221" s="7"/>
    </row>
    <row r="222" spans="2:17" ht="19.5" customHeight="1">
      <c r="B222" s="135">
        <f>Invoerenploeg!$CG$22</f>
        <v>0</v>
      </c>
      <c r="C222" s="135">
        <f>Invoerenploeg!$CE$22</f>
        <v>0</v>
      </c>
      <c r="D222" s="135">
        <f>Invoerenploeg!$CF$22</f>
        <v>0</v>
      </c>
      <c r="E222" s="135" t="s">
        <v>20</v>
      </c>
      <c r="F222" s="96"/>
      <c r="G222" s="96"/>
      <c r="H222" s="135">
        <f>Invoerenploeg!$CL$22</f>
        <v>0</v>
      </c>
      <c r="I222" s="96"/>
      <c r="J222" s="96"/>
      <c r="K222" s="96"/>
      <c r="L222" s="96"/>
      <c r="M222" s="96"/>
      <c r="N222" s="96"/>
      <c r="O222" s="143"/>
      <c r="P222" s="143"/>
      <c r="Q222" s="7"/>
    </row>
    <row r="223" spans="2:17" ht="19.5" customHeight="1">
      <c r="B223" s="135">
        <f>Invoerenploeg!$CJ$22</f>
        <v>0</v>
      </c>
      <c r="C223" s="135">
        <f>Invoerenploeg!$CH$22</f>
        <v>0</v>
      </c>
      <c r="D223" s="135">
        <f>Invoerenploeg!$CI$22</f>
        <v>0</v>
      </c>
      <c r="F223" s="142"/>
      <c r="G223" s="135"/>
      <c r="H223" s="135"/>
      <c r="I223" s="147"/>
      <c r="J223" s="156"/>
      <c r="K223" s="152"/>
      <c r="L223" s="142"/>
      <c r="M223" s="142"/>
      <c r="N223" s="142"/>
      <c r="O223" s="143"/>
      <c r="P223" s="143"/>
      <c r="Q223" s="7"/>
    </row>
    <row r="224" ht="3" customHeight="1"/>
    <row r="225" spans="2:17" ht="19.5" customHeight="1">
      <c r="B225" s="155">
        <f>Invoerenploeg!$A$23</f>
        <v>19</v>
      </c>
      <c r="C225" s="161">
        <f>Invoerenploeg!$D$23</f>
        <v>0</v>
      </c>
      <c r="D225" s="125">
        <f>Invoerenploeg!$E$23</f>
        <v>0</v>
      </c>
      <c r="E225" s="268">
        <v>0.3</v>
      </c>
      <c r="F225" s="162"/>
      <c r="G225" s="162"/>
      <c r="H225" s="162"/>
      <c r="I225" s="163"/>
      <c r="J225" s="163"/>
      <c r="K225" s="136"/>
      <c r="L225" s="130" t="s">
        <v>79</v>
      </c>
      <c r="M225" s="164" t="s">
        <v>80</v>
      </c>
      <c r="N225" s="165">
        <f>Invoerenploeg!$C$1</f>
        <v>50</v>
      </c>
      <c r="O225" s="166" t="s">
        <v>81</v>
      </c>
      <c r="P225" s="167">
        <f>ROUND(Invoerenploeg!$DH$23*Invoerenploeg!$C$1/100,4)</f>
        <v>0</v>
      </c>
      <c r="Q225" s="49">
        <f>Invoerenploeg!$DL$23</f>
      </c>
    </row>
    <row r="226" spans="2:17" ht="19.5" customHeight="1">
      <c r="B226" s="135">
        <f>Invoerenploeg!$BI$23</f>
        <v>0</v>
      </c>
      <c r="C226" s="135">
        <f>Invoerenploeg!$BG$23</f>
        <v>0</v>
      </c>
      <c r="D226" s="135">
        <f>Invoerenploeg!$BH$23</f>
        <v>0</v>
      </c>
      <c r="E226" s="126">
        <v>0.4</v>
      </c>
      <c r="F226" s="127"/>
      <c r="G226" s="127"/>
      <c r="H226" s="127"/>
      <c r="I226" s="128"/>
      <c r="J226" s="128"/>
      <c r="K226" s="136"/>
      <c r="L226" s="137" t="s">
        <v>82</v>
      </c>
      <c r="M226" s="138" t="s">
        <v>83</v>
      </c>
      <c r="N226" s="139">
        <f>Invoerenploeg!$C$3</f>
        <v>0</v>
      </c>
      <c r="O226" s="140" t="s">
        <v>81</v>
      </c>
      <c r="P226" s="141">
        <f>ROUND(Invoerenploeg!$H$23*Invoerenploeg!$C$3/100,4)</f>
        <v>0</v>
      </c>
      <c r="Q226" s="7">
        <f>Invoerenploeg!$I$23</f>
      </c>
    </row>
    <row r="227" spans="2:17" ht="19.5" customHeight="1">
      <c r="B227" s="135">
        <f>Invoerenploeg!$BL$23</f>
        <v>0</v>
      </c>
      <c r="C227" s="135">
        <f>Invoerenploeg!$BJ$23</f>
        <v>0</v>
      </c>
      <c r="D227" s="135">
        <f>Invoerenploeg!$BK$23</f>
        <v>0</v>
      </c>
      <c r="E227" s="126">
        <v>0.3</v>
      </c>
      <c r="F227" s="127"/>
      <c r="G227" s="127"/>
      <c r="H227" s="127"/>
      <c r="I227" s="128"/>
      <c r="J227" s="128"/>
      <c r="K227" s="136"/>
      <c r="L227" s="137" t="s">
        <v>84</v>
      </c>
      <c r="M227" s="142"/>
      <c r="N227" s="142"/>
      <c r="O227" s="143"/>
      <c r="P227" s="143"/>
      <c r="Q227" s="7"/>
    </row>
    <row r="228" spans="2:17" ht="19.5" customHeight="1">
      <c r="B228" s="135">
        <f>Invoerenploeg!$BO$23</f>
        <v>0</v>
      </c>
      <c r="C228" s="135">
        <f>Invoerenploeg!$BM$23</f>
        <v>0</v>
      </c>
      <c r="D228" s="135">
        <f>Invoerenploeg!$BN$23</f>
        <v>0</v>
      </c>
      <c r="F228" s="142"/>
      <c r="G228" s="144"/>
      <c r="H228" s="144"/>
      <c r="I228" s="145"/>
      <c r="J228" s="145"/>
      <c r="K228" s="146">
        <f>SUM(K225:K227)</f>
        <v>0</v>
      </c>
      <c r="L228" s="142"/>
      <c r="M228" s="142"/>
      <c r="N228" s="142"/>
      <c r="O228" s="143"/>
      <c r="P228" s="143"/>
      <c r="Q228" s="7"/>
    </row>
    <row r="229" spans="2:17" ht="19.5" customHeight="1">
      <c r="B229" s="135">
        <f>Invoerenploeg!$BR$23</f>
        <v>0</v>
      </c>
      <c r="C229" s="135">
        <f>Invoerenploeg!$BP$23</f>
        <v>0</v>
      </c>
      <c r="D229" s="135">
        <f>Invoerenploeg!$BQ$23</f>
        <v>0</v>
      </c>
      <c r="F229" s="142"/>
      <c r="G229" s="135"/>
      <c r="H229" s="135"/>
      <c r="I229" s="147"/>
      <c r="J229" s="148" t="s">
        <v>85</v>
      </c>
      <c r="K229" s="149"/>
      <c r="L229" s="137" t="s">
        <v>86</v>
      </c>
      <c r="M229" s="142"/>
      <c r="N229" s="142"/>
      <c r="O229" s="143"/>
      <c r="P229" s="143"/>
      <c r="Q229" s="7"/>
    </row>
    <row r="230" spans="2:17" ht="19.5" customHeight="1">
      <c r="B230" s="135">
        <f>Invoerenploeg!$BU$23</f>
        <v>0</v>
      </c>
      <c r="C230" s="135">
        <f>Invoerenploeg!$BS$23</f>
        <v>0</v>
      </c>
      <c r="D230" s="135">
        <f>Invoerenploeg!$BT$23</f>
        <v>0</v>
      </c>
      <c r="F230" s="142"/>
      <c r="G230" s="135"/>
      <c r="H230" s="135"/>
      <c r="I230" s="147"/>
      <c r="K230" s="152"/>
      <c r="L230" s="142"/>
      <c r="M230" s="148" t="s">
        <v>88</v>
      </c>
      <c r="N230" s="142">
        <f>Invoerenploeg!$C$2</f>
        <v>50</v>
      </c>
      <c r="O230" s="153" t="s">
        <v>81</v>
      </c>
      <c r="P230" s="154"/>
      <c r="Q230" s="7">
        <f>Invoerenploeg!$K$23</f>
      </c>
    </row>
    <row r="231" spans="2:17" ht="19.5" customHeight="1">
      <c r="B231" s="135">
        <f>Invoerenploeg!$BX$23</f>
        <v>0</v>
      </c>
      <c r="C231" s="135">
        <f>Invoerenploeg!$BV$23</f>
        <v>0</v>
      </c>
      <c r="D231" s="135">
        <f>Invoerenploeg!$BW$23</f>
        <v>0</v>
      </c>
      <c r="F231" s="142"/>
      <c r="G231" s="135"/>
      <c r="H231" s="135"/>
      <c r="I231" s="155">
        <f>Invoerenploeg!$F$23</f>
        <v>0</v>
      </c>
      <c r="K231" s="152"/>
      <c r="L231" s="142"/>
      <c r="M231" s="156" t="s">
        <v>17</v>
      </c>
      <c r="N231" s="142"/>
      <c r="O231" s="142"/>
      <c r="P231" s="143">
        <f>P225+P226</f>
        <v>0</v>
      </c>
      <c r="Q231" s="157"/>
    </row>
    <row r="232" spans="2:17" ht="19.5" customHeight="1">
      <c r="B232" s="135">
        <f>Invoerenploeg!$CA$23</f>
        <v>0</v>
      </c>
      <c r="C232" s="135">
        <f>Invoerenploeg!$BY$23</f>
        <v>0</v>
      </c>
      <c r="D232" s="135">
        <f>Invoerenploeg!$BZ$23</f>
        <v>0</v>
      </c>
      <c r="F232" s="142"/>
      <c r="G232" s="135"/>
      <c r="H232" s="135"/>
      <c r="I232" s="147"/>
      <c r="J232" s="156"/>
      <c r="K232" s="152"/>
      <c r="L232" s="142"/>
      <c r="M232" s="142"/>
      <c r="N232" s="142"/>
      <c r="O232" s="143"/>
      <c r="P232" s="143"/>
      <c r="Q232" s="7"/>
    </row>
    <row r="233" spans="2:17" ht="19.5" customHeight="1">
      <c r="B233" s="135">
        <f>Invoerenploeg!$CD$23</f>
        <v>0</v>
      </c>
      <c r="C233" s="135">
        <f>Invoerenploeg!$CB$23</f>
        <v>0</v>
      </c>
      <c r="D233" s="135">
        <f>Invoerenploeg!$CC$23</f>
        <v>0</v>
      </c>
      <c r="E233" s="135" t="s">
        <v>19</v>
      </c>
      <c r="F233" s="96"/>
      <c r="G233" s="96"/>
      <c r="H233" s="135">
        <f>Invoerenploeg!$CK$23</f>
        <v>0</v>
      </c>
      <c r="I233" s="96"/>
      <c r="J233" s="96"/>
      <c r="K233" s="96"/>
      <c r="L233" s="96"/>
      <c r="M233" s="96"/>
      <c r="N233" s="96"/>
      <c r="O233" s="143"/>
      <c r="P233" s="143"/>
      <c r="Q233" s="7"/>
    </row>
    <row r="234" spans="2:17" ht="19.5" customHeight="1">
      <c r="B234" s="135">
        <f>Invoerenploeg!$CG$23</f>
        <v>0</v>
      </c>
      <c r="C234" s="135">
        <f>Invoerenploeg!$CE$23</f>
        <v>0</v>
      </c>
      <c r="D234" s="135">
        <f>Invoerenploeg!$CF$23</f>
        <v>0</v>
      </c>
      <c r="E234" s="135" t="s">
        <v>20</v>
      </c>
      <c r="F234" s="96"/>
      <c r="G234" s="96"/>
      <c r="H234" s="135">
        <f>Invoerenploeg!$CL$23</f>
        <v>0</v>
      </c>
      <c r="I234" s="96"/>
      <c r="J234" s="96"/>
      <c r="K234" s="96"/>
      <c r="L234" s="96"/>
      <c r="M234" s="96"/>
      <c r="N234" s="96"/>
      <c r="O234" s="143"/>
      <c r="P234" s="143"/>
      <c r="Q234" s="7"/>
    </row>
    <row r="235" spans="2:17" ht="19.5" customHeight="1">
      <c r="B235" s="135">
        <f>Invoerenploeg!$CJ$23</f>
        <v>0</v>
      </c>
      <c r="C235" s="135">
        <f>Invoerenploeg!$CH$23</f>
        <v>0</v>
      </c>
      <c r="D235" s="135">
        <f>Invoerenploeg!$CI$23</f>
        <v>0</v>
      </c>
      <c r="F235" s="142"/>
      <c r="G235" s="135"/>
      <c r="H235" s="135"/>
      <c r="I235" s="147"/>
      <c r="J235" s="156"/>
      <c r="K235" s="152"/>
      <c r="L235" s="142"/>
      <c r="M235" s="142"/>
      <c r="N235" s="142"/>
      <c r="O235" s="143"/>
      <c r="P235" s="143"/>
      <c r="Q235" s="7"/>
    </row>
    <row r="236" ht="3" customHeight="1"/>
    <row r="237" spans="2:17" ht="19.5" customHeight="1">
      <c r="B237" s="155">
        <f>Invoerenploeg!$A$24</f>
        <v>20</v>
      </c>
      <c r="C237" s="161">
        <f>Invoerenploeg!$D$24</f>
        <v>0</v>
      </c>
      <c r="D237" s="125">
        <f>Invoerenploeg!$E$24</f>
        <v>0</v>
      </c>
      <c r="E237" s="268">
        <v>0.3</v>
      </c>
      <c r="F237" s="162"/>
      <c r="G237" s="162"/>
      <c r="H237" s="162"/>
      <c r="I237" s="163"/>
      <c r="J237" s="163"/>
      <c r="K237" s="136"/>
      <c r="L237" s="130" t="s">
        <v>79</v>
      </c>
      <c r="M237" s="164" t="s">
        <v>80</v>
      </c>
      <c r="N237" s="165">
        <f>Invoerenploeg!$C$1</f>
        <v>50</v>
      </c>
      <c r="O237" s="166" t="s">
        <v>81</v>
      </c>
      <c r="P237" s="167">
        <f>ROUND(Invoerenploeg!$DH$24*Invoerenploeg!$C$1/100,4)</f>
        <v>0</v>
      </c>
      <c r="Q237" s="49">
        <f>Invoerenploeg!$DL$24</f>
      </c>
    </row>
    <row r="238" spans="2:17" ht="19.5" customHeight="1">
      <c r="B238" s="135">
        <f>Invoerenploeg!$BI$24</f>
        <v>0</v>
      </c>
      <c r="C238" s="135">
        <f>Invoerenploeg!$BG$24</f>
        <v>0</v>
      </c>
      <c r="D238" s="135">
        <f>Invoerenploeg!$BH$24</f>
        <v>0</v>
      </c>
      <c r="E238" s="126">
        <v>0.4</v>
      </c>
      <c r="F238" s="127"/>
      <c r="G238" s="127"/>
      <c r="H238" s="127"/>
      <c r="I238" s="128"/>
      <c r="J238" s="128"/>
      <c r="K238" s="136"/>
      <c r="L238" s="137" t="s">
        <v>82</v>
      </c>
      <c r="M238" s="138" t="s">
        <v>83</v>
      </c>
      <c r="N238" s="139">
        <f>Invoerenploeg!$C$3</f>
        <v>0</v>
      </c>
      <c r="O238" s="140" t="s">
        <v>81</v>
      </c>
      <c r="P238" s="141">
        <f>ROUND(Invoerenploeg!$H$24*Invoerenploeg!$C$3/100,4)</f>
        <v>0</v>
      </c>
      <c r="Q238" s="7">
        <f>Invoerenploeg!$I$24</f>
      </c>
    </row>
    <row r="239" spans="2:17" ht="19.5" customHeight="1">
      <c r="B239" s="135">
        <f>Invoerenploeg!$BL$24</f>
        <v>0</v>
      </c>
      <c r="C239" s="135">
        <f>Invoerenploeg!$BJ$24</f>
        <v>0</v>
      </c>
      <c r="D239" s="135">
        <f>Invoerenploeg!$BK$24</f>
        <v>0</v>
      </c>
      <c r="E239" s="126">
        <v>0.3</v>
      </c>
      <c r="F239" s="127"/>
      <c r="G239" s="127"/>
      <c r="H239" s="127"/>
      <c r="I239" s="128"/>
      <c r="J239" s="128"/>
      <c r="K239" s="136"/>
      <c r="L239" s="137" t="s">
        <v>84</v>
      </c>
      <c r="M239" s="142"/>
      <c r="N239" s="142"/>
      <c r="O239" s="143"/>
      <c r="P239" s="143"/>
      <c r="Q239" s="7"/>
    </row>
    <row r="240" spans="2:17" ht="19.5" customHeight="1">
      <c r="B240" s="135">
        <f>Invoerenploeg!$BO$24</f>
        <v>0</v>
      </c>
      <c r="C240" s="135">
        <f>Invoerenploeg!$BM$24</f>
        <v>0</v>
      </c>
      <c r="D240" s="135">
        <f>Invoerenploeg!$BN$24</f>
        <v>0</v>
      </c>
      <c r="F240" s="142"/>
      <c r="G240" s="144"/>
      <c r="H240" s="144"/>
      <c r="I240" s="145"/>
      <c r="J240" s="145"/>
      <c r="K240" s="146">
        <f>SUM(K237:K239)</f>
        <v>0</v>
      </c>
      <c r="L240" s="142"/>
      <c r="M240" s="142"/>
      <c r="N240" s="142"/>
      <c r="O240" s="143"/>
      <c r="P240" s="143"/>
      <c r="Q240" s="7"/>
    </row>
    <row r="241" spans="2:17" ht="19.5" customHeight="1">
      <c r="B241" s="135">
        <f>Invoerenploeg!$BR$24</f>
        <v>0</v>
      </c>
      <c r="C241" s="135">
        <f>Invoerenploeg!$BP$24</f>
        <v>0</v>
      </c>
      <c r="D241" s="135">
        <f>Invoerenploeg!$BQ$24</f>
        <v>0</v>
      </c>
      <c r="F241" s="142"/>
      <c r="G241" s="135"/>
      <c r="H241" s="135"/>
      <c r="I241" s="147"/>
      <c r="J241" s="148" t="s">
        <v>85</v>
      </c>
      <c r="K241" s="149"/>
      <c r="L241" s="137" t="s">
        <v>86</v>
      </c>
      <c r="M241" s="142"/>
      <c r="N241" s="142"/>
      <c r="O241" s="143"/>
      <c r="P241" s="143"/>
      <c r="Q241" s="7"/>
    </row>
    <row r="242" spans="2:17" ht="19.5" customHeight="1">
      <c r="B242" s="135">
        <f>Invoerenploeg!$BU$24</f>
        <v>0</v>
      </c>
      <c r="C242" s="135">
        <f>Invoerenploeg!$BS$24</f>
        <v>0</v>
      </c>
      <c r="D242" s="135">
        <f>Invoerenploeg!$BT$24</f>
        <v>0</v>
      </c>
      <c r="F242" s="142"/>
      <c r="G242" s="135"/>
      <c r="H242" s="135"/>
      <c r="I242" s="147"/>
      <c r="K242" s="152"/>
      <c r="L242" s="142"/>
      <c r="M242" s="148" t="s">
        <v>88</v>
      </c>
      <c r="N242" s="142">
        <f>Invoerenploeg!$C$2</f>
        <v>50</v>
      </c>
      <c r="O242" s="153" t="s">
        <v>81</v>
      </c>
      <c r="P242" s="154"/>
      <c r="Q242" s="7">
        <f>Invoerenploeg!$K$24</f>
      </c>
    </row>
    <row r="243" spans="2:17" ht="19.5" customHeight="1">
      <c r="B243" s="135">
        <f>Invoerenploeg!$BX$24</f>
        <v>0</v>
      </c>
      <c r="C243" s="135">
        <f>Invoerenploeg!$BV$24</f>
        <v>0</v>
      </c>
      <c r="D243" s="135">
        <f>Invoerenploeg!$BW$24</f>
        <v>0</v>
      </c>
      <c r="F243" s="142"/>
      <c r="G243" s="135"/>
      <c r="H243" s="135"/>
      <c r="I243" s="155">
        <f>Invoerenploeg!$F$24</f>
        <v>0</v>
      </c>
      <c r="K243" s="152"/>
      <c r="L243" s="142"/>
      <c r="M243" s="156" t="s">
        <v>17</v>
      </c>
      <c r="N243" s="142"/>
      <c r="O243" s="142"/>
      <c r="P243" s="143">
        <f>P237+P238</f>
        <v>0</v>
      </c>
      <c r="Q243" s="157"/>
    </row>
    <row r="244" spans="2:17" ht="19.5" customHeight="1">
      <c r="B244" s="135">
        <f>Invoerenploeg!$CA$24</f>
        <v>0</v>
      </c>
      <c r="C244" s="135">
        <f>Invoerenploeg!$BY$24</f>
        <v>0</v>
      </c>
      <c r="D244" s="135">
        <f>Invoerenploeg!$BZ$24</f>
        <v>0</v>
      </c>
      <c r="F244" s="142"/>
      <c r="G244" s="135"/>
      <c r="H244" s="135"/>
      <c r="I244" s="147"/>
      <c r="J244" s="156"/>
      <c r="K244" s="152"/>
      <c r="L244" s="142"/>
      <c r="M244" s="142"/>
      <c r="N244" s="142"/>
      <c r="O244" s="143"/>
      <c r="P244" s="143"/>
      <c r="Q244" s="7"/>
    </row>
    <row r="245" spans="2:17" ht="19.5" customHeight="1">
      <c r="B245" s="135">
        <f>Invoerenploeg!$CD$24</f>
        <v>0</v>
      </c>
      <c r="C245" s="135">
        <f>Invoerenploeg!$CB$24</f>
        <v>0</v>
      </c>
      <c r="D245" s="135">
        <f>Invoerenploeg!$CC$24</f>
        <v>0</v>
      </c>
      <c r="E245" s="135" t="s">
        <v>19</v>
      </c>
      <c r="F245" s="96"/>
      <c r="G245" s="96"/>
      <c r="H245" s="135">
        <f>Invoerenploeg!$CK$24</f>
        <v>0</v>
      </c>
      <c r="I245" s="96"/>
      <c r="J245" s="96"/>
      <c r="K245" s="96"/>
      <c r="L245" s="96"/>
      <c r="M245" s="96"/>
      <c r="N245" s="96"/>
      <c r="O245" s="143"/>
      <c r="P245" s="143"/>
      <c r="Q245" s="7"/>
    </row>
    <row r="246" spans="2:17" ht="19.5" customHeight="1">
      <c r="B246" s="135">
        <f>Invoerenploeg!$CG$24</f>
        <v>0</v>
      </c>
      <c r="C246" s="135">
        <f>Invoerenploeg!$CE$24</f>
        <v>0</v>
      </c>
      <c r="D246" s="135">
        <f>Invoerenploeg!$CF$24</f>
        <v>0</v>
      </c>
      <c r="E246" s="135" t="s">
        <v>20</v>
      </c>
      <c r="F246" s="96"/>
      <c r="G246" s="96"/>
      <c r="H246" s="135">
        <f>Invoerenploeg!$CL$24</f>
        <v>0</v>
      </c>
      <c r="I246" s="96"/>
      <c r="J246" s="96"/>
      <c r="K246" s="96"/>
      <c r="L246" s="96"/>
      <c r="M246" s="96"/>
      <c r="N246" s="96"/>
      <c r="O246" s="143"/>
      <c r="P246" s="143"/>
      <c r="Q246" s="7"/>
    </row>
    <row r="247" spans="2:17" ht="19.5" customHeight="1">
      <c r="B247" s="135">
        <f>Invoerenploeg!$CJ$24</f>
        <v>0</v>
      </c>
      <c r="C247" s="135">
        <f>Invoerenploeg!$CH$24</f>
        <v>0</v>
      </c>
      <c r="D247" s="135">
        <f>Invoerenploeg!$CI$24</f>
        <v>0</v>
      </c>
      <c r="F247" s="142"/>
      <c r="G247" s="135"/>
      <c r="H247" s="135"/>
      <c r="I247" s="147"/>
      <c r="J247" s="156"/>
      <c r="K247" s="152"/>
      <c r="L247" s="142"/>
      <c r="M247" s="142"/>
      <c r="N247" s="142"/>
      <c r="O247" s="143"/>
      <c r="P247" s="143"/>
      <c r="Q247" s="7"/>
    </row>
  </sheetData>
  <sheetProtection selectLockedCells="1" selectUnlockedCells="1"/>
  <mergeCells count="2">
    <mergeCell ref="N1:P1"/>
    <mergeCell ref="N2:P2"/>
  </mergeCells>
  <printOptions/>
  <pageMargins left="0.19652777777777777" right="0.19652777777777777" top="0.5902777777777778" bottom="0.5118055555555555" header="0.5118055555555555" footer="0.5118055555555555"/>
  <pageSetup horizontalDpi="300" verticalDpi="300" orientation="portrait" paperSize="9" scale="80" r:id="rId1"/>
  <rowBreaks count="2" manualBreakCount="2">
    <brk id="56" max="255" man="1"/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P247"/>
  <sheetViews>
    <sheetView showZeros="0" view="pageBreakPreview" zoomScaleSheetLayoutView="100" zoomScalePageLayoutView="0" workbookViewId="0" topLeftCell="A7">
      <selection activeCell="R19" sqref="R19"/>
    </sheetView>
  </sheetViews>
  <sheetFormatPr defaultColWidth="9.00390625" defaultRowHeight="12.75"/>
  <cols>
    <col min="1" max="1" width="5.75390625" style="142" customWidth="1"/>
    <col min="2" max="2" width="26.25390625" style="142" customWidth="1"/>
    <col min="3" max="3" width="11.125" style="142" customWidth="1"/>
    <col min="4" max="4" width="5.125" style="142" customWidth="1"/>
    <col min="5" max="9" width="5.375" style="142" customWidth="1"/>
    <col min="10" max="10" width="8.75390625" style="143" customWidth="1"/>
    <col min="11" max="11" width="4.125" style="142" customWidth="1"/>
    <col min="12" max="12" width="3.875" style="142" customWidth="1"/>
    <col min="13" max="13" width="4.625" style="142" customWidth="1"/>
    <col min="14" max="14" width="2.75390625" style="143" customWidth="1"/>
    <col min="15" max="15" width="8.625" style="142" customWidth="1"/>
    <col min="16" max="16" width="4.375" style="7" customWidth="1"/>
    <col min="17" max="16384" width="9.125" style="142" customWidth="1"/>
  </cols>
  <sheetData>
    <row r="1" spans="1:15" ht="12.75" customHeight="1">
      <c r="A1" s="103" t="str">
        <f>'Startlijst solo'!$B$1</f>
        <v>LSZK-A</v>
      </c>
      <c r="B1" s="96"/>
      <c r="C1" s="96"/>
      <c r="D1" s="96"/>
      <c r="E1" s="96"/>
      <c r="F1" s="96"/>
      <c r="G1" s="96"/>
      <c r="H1" s="96"/>
      <c r="J1" s="369" t="s">
        <v>66</v>
      </c>
      <c r="K1" s="369"/>
      <c r="L1" s="370">
        <f>'Startlijst solo'!N1</f>
        <v>41805</v>
      </c>
      <c r="M1" s="370"/>
      <c r="N1" s="370"/>
      <c r="O1" s="114"/>
    </row>
    <row r="2" spans="1:14" ht="12.75" customHeight="1">
      <c r="A2" s="103" t="str">
        <f>'Startlijst solo'!$B$2</f>
        <v>Organisatie:  SPIO Venray</v>
      </c>
      <c r="B2" s="96"/>
      <c r="C2" s="96"/>
      <c r="D2" s="96"/>
      <c r="E2" s="96"/>
      <c r="F2" s="96"/>
      <c r="G2" s="96"/>
      <c r="H2" s="96"/>
      <c r="J2" s="369" t="s">
        <v>69</v>
      </c>
      <c r="K2" s="369"/>
      <c r="L2" s="371" t="str">
        <f>'Startlijst solo'!N2</f>
        <v>13.30 uur</v>
      </c>
      <c r="M2" s="371"/>
      <c r="N2" s="371"/>
    </row>
    <row r="3" spans="1:9" ht="12.75" customHeight="1">
      <c r="A3" s="168" t="s">
        <v>109</v>
      </c>
      <c r="B3" s="168" t="str">
        <f>'Startlijst solo'!C3</f>
        <v>Age I</v>
      </c>
      <c r="C3" s="169"/>
      <c r="D3" s="169"/>
      <c r="E3" s="169"/>
      <c r="F3" s="169"/>
      <c r="G3" s="169"/>
      <c r="H3" s="169"/>
      <c r="I3" s="169"/>
    </row>
    <row r="4" spans="1:16" ht="5.25" customHeight="1">
      <c r="A4" s="109"/>
      <c r="B4" s="109"/>
      <c r="C4" s="170"/>
      <c r="D4" s="109"/>
      <c r="E4" s="109"/>
      <c r="F4" s="109"/>
      <c r="G4" s="109"/>
      <c r="H4" s="109"/>
      <c r="I4" s="109"/>
      <c r="J4" s="171"/>
      <c r="K4" s="109"/>
      <c r="L4" s="109"/>
      <c r="M4" s="109"/>
      <c r="N4" s="171"/>
      <c r="O4" s="109"/>
      <c r="P4" s="172"/>
    </row>
    <row r="5" spans="1:15" ht="12.75">
      <c r="A5" s="114"/>
      <c r="B5" s="173" t="s">
        <v>211</v>
      </c>
      <c r="C5" s="174"/>
      <c r="D5" s="114"/>
      <c r="E5" s="114"/>
      <c r="F5" s="114"/>
      <c r="G5" s="114"/>
      <c r="H5" s="114"/>
      <c r="I5" s="114"/>
      <c r="J5" s="175"/>
      <c r="K5" s="114"/>
      <c r="L5" s="114"/>
      <c r="M5" s="114"/>
      <c r="N5" s="175"/>
      <c r="O5" s="114"/>
    </row>
    <row r="6" spans="1:15" ht="4.5" customHeight="1">
      <c r="A6" s="114"/>
      <c r="B6" s="114"/>
      <c r="C6" s="174"/>
      <c r="D6" s="114"/>
      <c r="E6" s="114"/>
      <c r="F6" s="114"/>
      <c r="G6" s="114"/>
      <c r="H6" s="114"/>
      <c r="I6" s="114"/>
      <c r="J6" s="175"/>
      <c r="K6" s="114"/>
      <c r="L6" s="114"/>
      <c r="M6" s="114"/>
      <c r="N6" s="175"/>
      <c r="O6" s="114"/>
    </row>
    <row r="7" spans="1:16" ht="12.75">
      <c r="A7" s="142" t="s">
        <v>91</v>
      </c>
      <c r="B7" s="176" t="s">
        <v>18</v>
      </c>
      <c r="C7" s="177" t="s">
        <v>75</v>
      </c>
      <c r="D7" s="114"/>
      <c r="E7" s="114"/>
      <c r="F7" s="114"/>
      <c r="G7" s="114"/>
      <c r="H7" s="114"/>
      <c r="I7" s="114"/>
      <c r="J7" s="178"/>
      <c r="K7" s="114"/>
      <c r="L7" s="114"/>
      <c r="M7" s="114"/>
      <c r="N7" s="175"/>
      <c r="O7" s="114"/>
      <c r="P7" s="179" t="s">
        <v>92</v>
      </c>
    </row>
    <row r="8" spans="1:16" ht="12.75">
      <c r="A8" s="142" t="s">
        <v>93</v>
      </c>
      <c r="B8" s="176" t="s">
        <v>77</v>
      </c>
      <c r="C8" s="180" t="s">
        <v>78</v>
      </c>
      <c r="D8" s="119"/>
      <c r="E8" s="181">
        <v>1</v>
      </c>
      <c r="F8" s="181">
        <v>2</v>
      </c>
      <c r="G8" s="181">
        <v>3</v>
      </c>
      <c r="H8" s="181">
        <v>4</v>
      </c>
      <c r="I8" s="181">
        <v>5</v>
      </c>
      <c r="J8" s="154"/>
      <c r="L8" s="119"/>
      <c r="M8" s="119"/>
      <c r="N8" s="154"/>
      <c r="O8" s="119"/>
      <c r="P8" s="182" t="s">
        <v>94</v>
      </c>
    </row>
    <row r="9" spans="1:16" ht="18.75" customHeight="1">
      <c r="A9" s="123">
        <f>Invoerenploeg!$B$5</f>
        <v>3</v>
      </c>
      <c r="B9" s="124" t="str">
        <f>Invoerenploeg!$D$5</f>
        <v>HZPC Horst</v>
      </c>
      <c r="C9" s="125" t="str">
        <f>Invoerenploeg!$E$5</f>
        <v>Limburg</v>
      </c>
      <c r="D9" s="126">
        <v>0.3</v>
      </c>
      <c r="E9" s="183">
        <f>Invoerenploeg!$Q$5</f>
        <v>4.1</v>
      </c>
      <c r="F9" s="183">
        <f>Invoerenploeg!$R$5</f>
        <v>4.4</v>
      </c>
      <c r="G9" s="183">
        <f>Invoerenploeg!$S$5</f>
        <v>4.6</v>
      </c>
      <c r="H9" s="184">
        <f>Invoerenploeg!$T$5</f>
        <v>4.4</v>
      </c>
      <c r="I9" s="184">
        <f>Invoerenploeg!$U$5</f>
        <v>4.6</v>
      </c>
      <c r="J9" s="129">
        <f>Invoerenploeg!$W$5</f>
        <v>13.4</v>
      </c>
      <c r="K9" s="185" t="s">
        <v>79</v>
      </c>
      <c r="L9" s="186" t="s">
        <v>80</v>
      </c>
      <c r="M9" s="187">
        <f>Invoerenploeg!C1</f>
        <v>50</v>
      </c>
      <c r="N9" s="188" t="s">
        <v>81</v>
      </c>
      <c r="O9" s="134">
        <f>ROUND(Invoerenploeg!$DH$5*Invoerenploeg!$C$1/100,4)</f>
        <v>20.7006</v>
      </c>
      <c r="P9" s="49">
        <f>Invoerenploeg!$DI$5</f>
        <v>3</v>
      </c>
    </row>
    <row r="10" spans="1:16" ht="18.75" customHeight="1">
      <c r="A10" s="135" t="str">
        <f>Invoerenploeg!$BI$5</f>
        <v>x</v>
      </c>
      <c r="B10" s="135" t="str">
        <f>Invoerenploeg!$BG$5</f>
        <v>Iris van Bavel</v>
      </c>
      <c r="C10" s="135">
        <f>Invoerenploeg!$BH$5</f>
        <v>200201950</v>
      </c>
      <c r="D10" s="126">
        <v>0.4</v>
      </c>
      <c r="E10" s="127">
        <f>Invoerenploeg!$AD$5</f>
        <v>4.6</v>
      </c>
      <c r="F10" s="127">
        <f>Invoerenploeg!$AE$5</f>
        <v>4.2</v>
      </c>
      <c r="G10" s="127">
        <f>Invoerenploeg!$AF$5</f>
        <v>4.7</v>
      </c>
      <c r="H10" s="128">
        <f>Invoerenploeg!$AG$5</f>
        <v>5.2</v>
      </c>
      <c r="I10" s="128">
        <f>Invoerenploeg!$AH$5</f>
        <v>4.3</v>
      </c>
      <c r="J10" s="136">
        <f>Invoerenploeg!$AJ$5</f>
        <v>18.1333</v>
      </c>
      <c r="K10" s="137" t="s">
        <v>82</v>
      </c>
      <c r="L10" s="138" t="s">
        <v>83</v>
      </c>
      <c r="M10" s="139">
        <f>Invoerenploeg!C3</f>
        <v>0</v>
      </c>
      <c r="N10" s="140" t="s">
        <v>81</v>
      </c>
      <c r="O10" s="141">
        <f>ROUND(Invoerenploeg!$H$5*Invoerenploeg!$C$3/100,4)</f>
        <v>0</v>
      </c>
      <c r="P10" s="7">
        <f>Invoerenploeg!$I$5</f>
        <v>3</v>
      </c>
    </row>
    <row r="11" spans="1:11" ht="18.75" customHeight="1">
      <c r="A11" s="135" t="str">
        <f>Invoerenploeg!$BL$5</f>
        <v>x</v>
      </c>
      <c r="B11" s="135" t="str">
        <f>Invoerenploeg!$BJ$5</f>
        <v>Niamh Rutten</v>
      </c>
      <c r="C11" s="135">
        <f>Invoerenploeg!$BK$5</f>
        <v>200201942</v>
      </c>
      <c r="D11" s="126">
        <v>0.3</v>
      </c>
      <c r="E11" s="127">
        <f>Invoerenploeg!$AQ$5</f>
        <v>4.7</v>
      </c>
      <c r="F11" s="127">
        <f>Invoerenploeg!$AR$5</f>
        <v>4.7</v>
      </c>
      <c r="G11" s="127">
        <f>Invoerenploeg!$AS$5</f>
        <v>4.7</v>
      </c>
      <c r="H11" s="128">
        <f>Invoerenploeg!$AT$5</f>
        <v>4.5</v>
      </c>
      <c r="I11" s="128">
        <f>Invoerenploeg!$AU$5</f>
        <v>4.3</v>
      </c>
      <c r="J11" s="136">
        <f>Invoerenploeg!$AW$5</f>
        <v>13.9</v>
      </c>
      <c r="K11" s="137" t="s">
        <v>84</v>
      </c>
    </row>
    <row r="12" spans="1:10" ht="18.75" customHeight="1">
      <c r="A12" s="135" t="str">
        <f>Invoerenploeg!$BO$5</f>
        <v>x</v>
      </c>
      <c r="B12" s="135" t="str">
        <f>Invoerenploeg!$BM$5</f>
        <v>Marit Smits</v>
      </c>
      <c r="C12" s="135">
        <f>Invoerenploeg!$BN$5</f>
        <v>200204220</v>
      </c>
      <c r="F12" s="144"/>
      <c r="G12" s="144"/>
      <c r="H12" s="145"/>
      <c r="I12" s="145"/>
      <c r="J12" s="146">
        <f>SUM(J9:J11)</f>
        <v>45.433299999999996</v>
      </c>
    </row>
    <row r="13" spans="1:11" ht="18.75" customHeight="1">
      <c r="A13" s="135" t="str">
        <f>Invoerenploeg!$BR$5</f>
        <v>x</v>
      </c>
      <c r="B13" s="135" t="str">
        <f>Invoerenploeg!$BP$5</f>
        <v>Femke Westheim</v>
      </c>
      <c r="C13" s="135">
        <f>Invoerenploeg!$BQ$5</f>
        <v>200204222</v>
      </c>
      <c r="F13" s="135"/>
      <c r="G13" s="135"/>
      <c r="H13" s="147"/>
      <c r="I13" s="148" t="s">
        <v>85</v>
      </c>
      <c r="J13" s="149">
        <f>Invoerenploeg!$BA$5</f>
        <v>2</v>
      </c>
      <c r="K13" s="137" t="s">
        <v>86</v>
      </c>
    </row>
    <row r="14" spans="1:16" ht="18.75" customHeight="1">
      <c r="A14" s="135">
        <f>Invoerenploeg!$BU$5</f>
        <v>0</v>
      </c>
      <c r="B14" s="135">
        <f>Invoerenploeg!$BS$5</f>
        <v>0</v>
      </c>
      <c r="C14" s="135">
        <f>Invoerenploeg!$BT$5</f>
        <v>0</v>
      </c>
      <c r="F14" s="135"/>
      <c r="G14" s="135"/>
      <c r="H14" s="147"/>
      <c r="I14" s="148" t="s">
        <v>5</v>
      </c>
      <c r="J14" s="152">
        <f>Invoerenploeg!$BB$5</f>
        <v>43.433299999999996</v>
      </c>
      <c r="L14" s="142" t="s">
        <v>95</v>
      </c>
      <c r="M14" s="142">
        <f>Invoerenploeg!$C$2</f>
        <v>50</v>
      </c>
      <c r="N14" s="153" t="s">
        <v>81</v>
      </c>
      <c r="O14" s="154">
        <f>Invoerenploeg!$BD$5</f>
        <v>21.7167</v>
      </c>
      <c r="P14" s="7">
        <f>Invoerenploeg!$K$5</f>
        <v>3</v>
      </c>
    </row>
    <row r="15" spans="1:16" ht="18.75" customHeight="1">
      <c r="A15" s="135">
        <f>Invoerenploeg!$BX$5</f>
        <v>0</v>
      </c>
      <c r="B15" s="135">
        <f>Invoerenploeg!$BV$5</f>
        <v>0</v>
      </c>
      <c r="C15" s="135">
        <f>Invoerenploeg!$BW$5</f>
        <v>0</v>
      </c>
      <c r="F15" s="135"/>
      <c r="G15" s="135"/>
      <c r="H15" s="155">
        <f>Invoerenploeg!$F$5</f>
        <v>0</v>
      </c>
      <c r="J15" s="152"/>
      <c r="L15" s="156" t="s">
        <v>17</v>
      </c>
      <c r="N15" s="142"/>
      <c r="O15" s="143">
        <f>Invoerenploeg!$C$5</f>
        <v>42.4173</v>
      </c>
      <c r="P15" s="157"/>
    </row>
    <row r="16" spans="1:10" ht="18.75" customHeight="1">
      <c r="A16" s="135">
        <f>Invoerenploeg!$CA$5</f>
        <v>0</v>
      </c>
      <c r="B16" s="135">
        <f>Invoerenploeg!$BY$5</f>
        <v>0</v>
      </c>
      <c r="C16" s="135">
        <f>Invoerenploeg!$BZ$5</f>
        <v>0</v>
      </c>
      <c r="F16" s="135"/>
      <c r="G16" s="135"/>
      <c r="H16" s="147"/>
      <c r="I16" s="156"/>
      <c r="J16" s="152"/>
    </row>
    <row r="17" spans="1:13" ht="18.75" customHeight="1">
      <c r="A17" s="135">
        <f>Invoerenploeg!$CD$5</f>
        <v>0</v>
      </c>
      <c r="B17" s="135">
        <f>Invoerenploeg!$CB$5</f>
        <v>0</v>
      </c>
      <c r="C17" s="135">
        <f>Invoerenploeg!$CC$5</f>
        <v>0</v>
      </c>
      <c r="D17" s="135" t="s">
        <v>19</v>
      </c>
      <c r="E17" s="96"/>
      <c r="F17" s="96"/>
      <c r="G17" s="135" t="str">
        <f>Invoerenploeg!$CK$5</f>
        <v>Red Hot</v>
      </c>
      <c r="H17" s="96"/>
      <c r="I17" s="96"/>
      <c r="J17" s="96"/>
      <c r="K17" s="96"/>
      <c r="L17" s="96"/>
      <c r="M17" s="96"/>
    </row>
    <row r="18" spans="1:13" ht="18.75" customHeight="1">
      <c r="A18" s="135">
        <f>Invoerenploeg!$CG$5</f>
        <v>0</v>
      </c>
      <c r="B18" s="135">
        <f>Invoerenploeg!$CE$5</f>
        <v>0</v>
      </c>
      <c r="C18" s="135">
        <f>Invoerenploeg!$CF$5</f>
        <v>0</v>
      </c>
      <c r="D18" s="135" t="s">
        <v>20</v>
      </c>
      <c r="E18" s="96"/>
      <c r="F18" s="96"/>
      <c r="G18" s="135" t="str">
        <f>Invoerenploeg!$CL$5</f>
        <v>Sophie en Mieke</v>
      </c>
      <c r="H18" s="96"/>
      <c r="I18" s="96"/>
      <c r="J18" s="96"/>
      <c r="K18" s="96"/>
      <c r="L18" s="96"/>
      <c r="M18" s="96"/>
    </row>
    <row r="19" spans="1:10" ht="18.75" customHeight="1">
      <c r="A19" s="135">
        <f>Invoerenploeg!$CJ$5</f>
        <v>0</v>
      </c>
      <c r="B19" s="135">
        <f>Invoerenploeg!$CH$5</f>
        <v>0</v>
      </c>
      <c r="C19" s="135">
        <f>Invoerenploeg!$CI$5</f>
        <v>0</v>
      </c>
      <c r="F19" s="135"/>
      <c r="G19" s="135"/>
      <c r="H19" s="147"/>
      <c r="I19" s="156"/>
      <c r="J19" s="152"/>
    </row>
    <row r="20" spans="1:16" ht="3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269"/>
      <c r="K20" s="189"/>
      <c r="L20" s="189"/>
      <c r="M20" s="189"/>
      <c r="N20" s="269"/>
      <c r="O20" s="189"/>
      <c r="P20" s="179"/>
    </row>
    <row r="21" spans="1:16" ht="18.75" customHeight="1">
      <c r="A21" s="474">
        <f>Invoerenploeg!$B$6</f>
        <v>1</v>
      </c>
      <c r="B21" s="477" t="str">
        <f>Invoerenploeg!$D$6</f>
        <v>ZV Brunssum</v>
      </c>
      <c r="C21" s="441" t="str">
        <f>Invoerenploeg!$E$6</f>
        <v>Limburg</v>
      </c>
      <c r="D21" s="478">
        <v>0.3</v>
      </c>
      <c r="E21" s="479">
        <f>Invoerenploeg!$Q$6</f>
        <v>4</v>
      </c>
      <c r="F21" s="479">
        <f>Invoerenploeg!$R$6</f>
        <v>4.3</v>
      </c>
      <c r="G21" s="479">
        <f>Invoerenploeg!$S$6</f>
        <v>4.7</v>
      </c>
      <c r="H21" s="480">
        <f>Invoerenploeg!$T$6</f>
        <v>4.8</v>
      </c>
      <c r="I21" s="480">
        <f>Invoerenploeg!$U$6</f>
        <v>5.1</v>
      </c>
      <c r="J21" s="455">
        <f>Invoerenploeg!$W$6</f>
        <v>13.8</v>
      </c>
      <c r="K21" s="481" t="s">
        <v>79</v>
      </c>
      <c r="L21" s="482" t="s">
        <v>80</v>
      </c>
      <c r="M21" s="483">
        <f>Invoerenploeg!$C$1</f>
        <v>50</v>
      </c>
      <c r="N21" s="484" t="s">
        <v>81</v>
      </c>
      <c r="O21" s="485">
        <f>Invoerenploeg!$DH$6*Invoerenploeg!$C$1/100</f>
        <v>24.055549999999997</v>
      </c>
      <c r="P21" s="486">
        <f>Invoerenploeg!$DI$6</f>
        <v>1</v>
      </c>
    </row>
    <row r="22" spans="1:16" ht="18.75" customHeight="1">
      <c r="A22" s="452" t="str">
        <f>Invoerenploeg!$BI$6</f>
        <v>x</v>
      </c>
      <c r="B22" s="452" t="str">
        <f>Invoerenploeg!$BG$6</f>
        <v>Chiara Boots</v>
      </c>
      <c r="C22" s="452">
        <f>Invoerenploeg!$BH$6</f>
        <v>200301748</v>
      </c>
      <c r="D22" s="442">
        <v>0.4</v>
      </c>
      <c r="E22" s="453">
        <f>Invoerenploeg!$AD$6</f>
        <v>4.7</v>
      </c>
      <c r="F22" s="453">
        <f>Invoerenploeg!$AE$6</f>
        <v>4.5</v>
      </c>
      <c r="G22" s="453">
        <f>Invoerenploeg!$AF$6</f>
        <v>4.9</v>
      </c>
      <c r="H22" s="454">
        <f>Invoerenploeg!$AG$6</f>
        <v>4.7</v>
      </c>
      <c r="I22" s="454">
        <f>Invoerenploeg!$AH$6</f>
        <v>4.2</v>
      </c>
      <c r="J22" s="455">
        <f>Invoerenploeg!$AJ$6</f>
        <v>18.5333</v>
      </c>
      <c r="K22" s="456" t="s">
        <v>82</v>
      </c>
      <c r="L22" s="457" t="s">
        <v>83</v>
      </c>
      <c r="M22" s="458">
        <f>Invoerenploeg!$C$3</f>
        <v>0</v>
      </c>
      <c r="N22" s="459" t="s">
        <v>81</v>
      </c>
      <c r="O22" s="460">
        <f>Invoerenploeg!$H$6*Invoerenploeg!$C$3/100</f>
        <v>0</v>
      </c>
      <c r="P22" s="461">
        <f>Invoerenploeg!$I$6</f>
        <v>1</v>
      </c>
    </row>
    <row r="23" spans="1:16" ht="18.75" customHeight="1">
      <c r="A23" s="452" t="str">
        <f>Invoerenploeg!$BL$6</f>
        <v>x</v>
      </c>
      <c r="B23" s="452" t="str">
        <f>Invoerenploeg!$BJ$6</f>
        <v>Joy Elferink</v>
      </c>
      <c r="C23" s="452">
        <f>Invoerenploeg!$BK$6</f>
        <v>200002050</v>
      </c>
      <c r="D23" s="442">
        <v>0.3</v>
      </c>
      <c r="E23" s="453">
        <f>Invoerenploeg!$AQ$6</f>
        <v>5</v>
      </c>
      <c r="F23" s="453">
        <f>Invoerenploeg!$AR$6</f>
        <v>5.1</v>
      </c>
      <c r="G23" s="453">
        <f>Invoerenploeg!$AS$6</f>
        <v>5.2</v>
      </c>
      <c r="H23" s="454">
        <f>Invoerenploeg!$AT$6</f>
        <v>4.9</v>
      </c>
      <c r="I23" s="454">
        <f>Invoerenploeg!$AU$6</f>
        <v>4.5</v>
      </c>
      <c r="J23" s="455">
        <f>Invoerenploeg!$AW$6</f>
        <v>15</v>
      </c>
      <c r="K23" s="456" t="s">
        <v>84</v>
      </c>
      <c r="L23" s="462"/>
      <c r="M23" s="462"/>
      <c r="N23" s="463"/>
      <c r="O23" s="462"/>
      <c r="P23" s="461"/>
    </row>
    <row r="24" spans="1:16" ht="18.75" customHeight="1">
      <c r="A24" s="452" t="str">
        <f>Invoerenploeg!$BO$6</f>
        <v>x</v>
      </c>
      <c r="B24" s="452" t="str">
        <f>Invoerenploeg!$BM$6</f>
        <v>Rachel Hochstenbach</v>
      </c>
      <c r="C24" s="452">
        <f>Invoerenploeg!$BN$6</f>
        <v>200202062</v>
      </c>
      <c r="D24" s="462"/>
      <c r="E24" s="462"/>
      <c r="F24" s="464"/>
      <c r="G24" s="464"/>
      <c r="H24" s="465"/>
      <c r="I24" s="465"/>
      <c r="J24" s="466">
        <f>SUM(J21:J23)</f>
        <v>47.3333</v>
      </c>
      <c r="K24" s="462"/>
      <c r="L24" s="462"/>
      <c r="M24" s="462"/>
      <c r="N24" s="463"/>
      <c r="O24" s="462"/>
      <c r="P24" s="461"/>
    </row>
    <row r="25" spans="1:16" ht="18.75" customHeight="1">
      <c r="A25" s="452" t="str">
        <f>Invoerenploeg!$BR$6</f>
        <v>x</v>
      </c>
      <c r="B25" s="452" t="str">
        <f>Invoerenploeg!$BP$6</f>
        <v>Abigail Vievermanns</v>
      </c>
      <c r="C25" s="452">
        <f>Invoerenploeg!$BQ$6</f>
        <v>200400222</v>
      </c>
      <c r="D25" s="462"/>
      <c r="E25" s="462"/>
      <c r="F25" s="452"/>
      <c r="G25" s="452"/>
      <c r="H25" s="467"/>
      <c r="I25" s="468" t="s">
        <v>85</v>
      </c>
      <c r="J25" s="469">
        <f>Invoerenploeg!$BA$6</f>
        <v>2</v>
      </c>
      <c r="K25" s="456" t="s">
        <v>86</v>
      </c>
      <c r="L25" s="462"/>
      <c r="M25" s="462"/>
      <c r="N25" s="463"/>
      <c r="O25" s="462"/>
      <c r="P25" s="461"/>
    </row>
    <row r="26" spans="1:16" ht="18.75" customHeight="1">
      <c r="A26" s="452">
        <f>Invoerenploeg!$BU$6</f>
        <v>0</v>
      </c>
      <c r="B26" s="452">
        <f>Invoerenploeg!$BS$6</f>
        <v>0</v>
      </c>
      <c r="C26" s="452">
        <f>Invoerenploeg!$BT$6</f>
        <v>0</v>
      </c>
      <c r="D26" s="462"/>
      <c r="E26" s="462"/>
      <c r="F26" s="452"/>
      <c r="G26" s="452"/>
      <c r="H26" s="467"/>
      <c r="I26" s="468" t="s">
        <v>5</v>
      </c>
      <c r="J26" s="471">
        <f>Invoerenploeg!$BB$6</f>
        <v>45.3333</v>
      </c>
      <c r="K26" s="462"/>
      <c r="L26" s="462" t="s">
        <v>95</v>
      </c>
      <c r="M26" s="462">
        <f>Invoerenploeg!$C$2</f>
        <v>50</v>
      </c>
      <c r="N26" s="472" t="s">
        <v>81</v>
      </c>
      <c r="O26" s="473">
        <f>Invoerenploeg!$BD$6</f>
        <v>22.6667</v>
      </c>
      <c r="P26" s="461">
        <f>Invoerenploeg!$K$6</f>
        <v>1</v>
      </c>
    </row>
    <row r="27" spans="1:16" ht="18.75" customHeight="1">
      <c r="A27" s="452">
        <f>Invoerenploeg!$BX$6</f>
        <v>0</v>
      </c>
      <c r="B27" s="452">
        <f>Invoerenploeg!$BV$6</f>
        <v>0</v>
      </c>
      <c r="C27" s="452">
        <f>Invoerenploeg!$BW$6</f>
        <v>0</v>
      </c>
      <c r="D27" s="462"/>
      <c r="E27" s="462"/>
      <c r="F27" s="452"/>
      <c r="G27" s="452"/>
      <c r="H27" s="474">
        <f>Invoerenploeg!$F$6</f>
        <v>0</v>
      </c>
      <c r="I27" s="462"/>
      <c r="J27" s="471"/>
      <c r="K27" s="462"/>
      <c r="L27" s="475" t="s">
        <v>17</v>
      </c>
      <c r="M27" s="462"/>
      <c r="N27" s="462"/>
      <c r="O27" s="463">
        <f>Invoerenploeg!$C$6</f>
        <v>46.7223</v>
      </c>
      <c r="P27" s="476"/>
    </row>
    <row r="28" spans="1:10" ht="18.75" customHeight="1">
      <c r="A28" s="135">
        <f>Invoerenploeg!$CA$6</f>
        <v>0</v>
      </c>
      <c r="B28" s="135">
        <f>Invoerenploeg!$BY$6</f>
        <v>0</v>
      </c>
      <c r="C28" s="135">
        <f>Invoerenploeg!$BZ$6</f>
        <v>0</v>
      </c>
      <c r="F28" s="135"/>
      <c r="G28" s="135"/>
      <c r="H28" s="147"/>
      <c r="I28" s="156"/>
      <c r="J28" s="152"/>
    </row>
    <row r="29" spans="1:13" ht="18.75" customHeight="1">
      <c r="A29" s="135">
        <f>Invoerenploeg!$CD$6</f>
        <v>0</v>
      </c>
      <c r="B29" s="135">
        <f>Invoerenploeg!$CB$6</f>
        <v>0</v>
      </c>
      <c r="C29" s="135">
        <f>Invoerenploeg!$CC$6</f>
        <v>0</v>
      </c>
      <c r="D29" s="135" t="s">
        <v>19</v>
      </c>
      <c r="E29" s="96"/>
      <c r="F29" s="96"/>
      <c r="G29" s="135" t="str">
        <f>Invoerenploeg!$CK$6</f>
        <v>Beggin'</v>
      </c>
      <c r="H29" s="96"/>
      <c r="I29" s="96"/>
      <c r="J29" s="96"/>
      <c r="K29" s="96"/>
      <c r="L29" s="96"/>
      <c r="M29" s="96"/>
    </row>
    <row r="30" spans="1:13" ht="18.75" customHeight="1">
      <c r="A30" s="135">
        <f>Invoerenploeg!$CG$6</f>
        <v>0</v>
      </c>
      <c r="B30" s="135">
        <f>Invoerenploeg!$CE$6</f>
        <v>0</v>
      </c>
      <c r="C30" s="135">
        <f>Invoerenploeg!$CF$6</f>
        <v>0</v>
      </c>
      <c r="D30" s="135" t="s">
        <v>20</v>
      </c>
      <c r="E30" s="96"/>
      <c r="F30" s="96"/>
      <c r="G30" s="135" t="str">
        <f>Invoerenploeg!$CL$6</f>
        <v>ZVB</v>
      </c>
      <c r="H30" s="96"/>
      <c r="I30" s="96"/>
      <c r="J30" s="96"/>
      <c r="K30" s="96"/>
      <c r="L30" s="96"/>
      <c r="M30" s="96"/>
    </row>
    <row r="31" spans="1:10" ht="18.75" customHeight="1">
      <c r="A31" s="135">
        <f>Invoerenploeg!$CJ$6</f>
        <v>0</v>
      </c>
      <c r="B31" s="135">
        <f>Invoerenploeg!$CH$6</f>
        <v>0</v>
      </c>
      <c r="C31" s="135">
        <f>Invoerenploeg!$CI$6</f>
        <v>0</v>
      </c>
      <c r="F31" s="135"/>
      <c r="G31" s="135"/>
      <c r="H31" s="147"/>
      <c r="I31" s="156"/>
      <c r="J31" s="152"/>
    </row>
    <row r="32" spans="2:3" ht="3" customHeight="1">
      <c r="B32" s="189"/>
      <c r="C32" s="189"/>
    </row>
    <row r="33" spans="1:16" ht="18.75" customHeight="1">
      <c r="A33" s="155">
        <f>Invoerenploeg!$B$7</f>
        <v>2</v>
      </c>
      <c r="B33" s="161" t="str">
        <f>Invoerenploeg!$D$7</f>
        <v>SPIO Venray</v>
      </c>
      <c r="C33" s="125" t="str">
        <f>Invoerenploeg!$E$7</f>
        <v>Limburg</v>
      </c>
      <c r="D33" s="268">
        <v>0.3</v>
      </c>
      <c r="E33" s="162">
        <f>Invoerenploeg!$Q$7</f>
        <v>3.8</v>
      </c>
      <c r="F33" s="162">
        <f>Invoerenploeg!$R$7</f>
        <v>4.6</v>
      </c>
      <c r="G33" s="162">
        <f>Invoerenploeg!$S$7</f>
        <v>4.5</v>
      </c>
      <c r="H33" s="163">
        <f>Invoerenploeg!$T$7</f>
        <v>4.7</v>
      </c>
      <c r="I33" s="163">
        <f>Invoerenploeg!$U$7</f>
        <v>4.5</v>
      </c>
      <c r="J33" s="136">
        <f>Invoerenploeg!$W$7</f>
        <v>13.6</v>
      </c>
      <c r="K33" s="130" t="s">
        <v>79</v>
      </c>
      <c r="L33" s="164" t="s">
        <v>80</v>
      </c>
      <c r="M33" s="165">
        <f>Invoerenploeg!$C$1</f>
        <v>50</v>
      </c>
      <c r="N33" s="166" t="s">
        <v>81</v>
      </c>
      <c r="O33" s="167">
        <f>Invoerenploeg!$DH$7*Invoerenploeg!$C$1/100</f>
        <v>21.5185</v>
      </c>
      <c r="P33" s="270">
        <f>Invoerenploeg!$DI$7</f>
        <v>2</v>
      </c>
    </row>
    <row r="34" spans="1:16" ht="18.75" customHeight="1">
      <c r="A34" s="135" t="str">
        <f>Invoerenploeg!$BI$7</f>
        <v>x</v>
      </c>
      <c r="B34" s="135" t="str">
        <f>Invoerenploeg!$BG$7</f>
        <v>Vera Andriessen</v>
      </c>
      <c r="C34" s="135">
        <f>Invoerenploeg!$BH$7</f>
        <v>200200444</v>
      </c>
      <c r="D34" s="126">
        <v>0.4</v>
      </c>
      <c r="E34" s="127">
        <f>Invoerenploeg!$AD$7</f>
        <v>4.4</v>
      </c>
      <c r="F34" s="127">
        <f>Invoerenploeg!$AE$7</f>
        <v>4.4</v>
      </c>
      <c r="G34" s="127">
        <f>Invoerenploeg!$AF$7</f>
        <v>4.5</v>
      </c>
      <c r="H34" s="128">
        <f>Invoerenploeg!$AG$7</f>
        <v>4.2</v>
      </c>
      <c r="I34" s="128">
        <f>Invoerenploeg!$AH$7</f>
        <v>4.4</v>
      </c>
      <c r="J34" s="136">
        <f>Invoerenploeg!$AJ$7</f>
        <v>17.6</v>
      </c>
      <c r="K34" s="137" t="s">
        <v>82</v>
      </c>
      <c r="L34" s="138" t="s">
        <v>83</v>
      </c>
      <c r="M34" s="139">
        <f>Invoerenploeg!$C$3</f>
        <v>0</v>
      </c>
      <c r="N34" s="140" t="s">
        <v>81</v>
      </c>
      <c r="O34" s="141">
        <f>Invoerenploeg!$H$7*Invoerenploeg!$C$3/100</f>
        <v>0</v>
      </c>
      <c r="P34" s="7">
        <f>Invoerenploeg!$I$7</f>
        <v>2</v>
      </c>
    </row>
    <row r="35" spans="1:11" ht="18.75" customHeight="1">
      <c r="A35" s="135" t="str">
        <f>Invoerenploeg!$BL$7</f>
        <v>x</v>
      </c>
      <c r="B35" s="135" t="str">
        <f>Invoerenploeg!$BJ$7</f>
        <v>Brechje Brauer</v>
      </c>
      <c r="C35" s="135">
        <f>Invoerenploeg!$BK$7</f>
        <v>200201966</v>
      </c>
      <c r="D35" s="126">
        <v>0.3</v>
      </c>
      <c r="E35" s="127">
        <f>Invoerenploeg!$AQ$7</f>
        <v>4.8</v>
      </c>
      <c r="F35" s="127">
        <f>Invoerenploeg!$AR$7</f>
        <v>4.9</v>
      </c>
      <c r="G35" s="127">
        <f>Invoerenploeg!$AS$7</f>
        <v>4.7</v>
      </c>
      <c r="H35" s="128">
        <f>Invoerenploeg!$AT$7</f>
        <v>4.6</v>
      </c>
      <c r="I35" s="128">
        <f>Invoerenploeg!$AU$7</f>
        <v>4</v>
      </c>
      <c r="J35" s="136">
        <f>Invoerenploeg!$AW$7</f>
        <v>14.1</v>
      </c>
      <c r="K35" s="137" t="s">
        <v>84</v>
      </c>
    </row>
    <row r="36" spans="1:10" ht="18.75" customHeight="1">
      <c r="A36" s="135" t="str">
        <f>Invoerenploeg!$BO$7</f>
        <v>x</v>
      </c>
      <c r="B36" s="135" t="str">
        <f>Invoerenploeg!$BM$7</f>
        <v>Neri Euwes</v>
      </c>
      <c r="C36" s="135">
        <f>Invoerenploeg!$BN$7</f>
        <v>200200074</v>
      </c>
      <c r="F36" s="144"/>
      <c r="G36" s="144"/>
      <c r="H36" s="145"/>
      <c r="I36" s="145"/>
      <c r="J36" s="146">
        <f>SUM(J33:J35)</f>
        <v>45.300000000000004</v>
      </c>
    </row>
    <row r="37" spans="1:11" ht="18.75" customHeight="1">
      <c r="A37" s="135" t="str">
        <f>Invoerenploeg!$BR$7</f>
        <v>x</v>
      </c>
      <c r="B37" s="135" t="str">
        <f>Invoerenploeg!$BP$7</f>
        <v>Elke Francken</v>
      </c>
      <c r="C37" s="135">
        <f>Invoerenploeg!$BQ$7</f>
        <v>200201968</v>
      </c>
      <c r="F37" s="135"/>
      <c r="G37" s="135"/>
      <c r="H37" s="147"/>
      <c r="I37" s="148" t="s">
        <v>85</v>
      </c>
      <c r="J37" s="149">
        <f>Invoerenploeg!$BA$7</f>
        <v>1</v>
      </c>
      <c r="K37" s="137" t="s">
        <v>86</v>
      </c>
    </row>
    <row r="38" spans="1:16" ht="18.75" customHeight="1">
      <c r="A38" s="135" t="str">
        <f>Invoerenploeg!$BU$7</f>
        <v>x</v>
      </c>
      <c r="B38" s="135" t="str">
        <f>Invoerenploeg!$BS$7</f>
        <v>Sanne Havens</v>
      </c>
      <c r="C38" s="135">
        <f>Invoerenploeg!$BT$7</f>
        <v>200201970</v>
      </c>
      <c r="F38" s="135"/>
      <c r="G38" s="135"/>
      <c r="H38" s="147"/>
      <c r="I38" s="148" t="s">
        <v>5</v>
      </c>
      <c r="J38" s="152">
        <f>Invoerenploeg!$BB$7</f>
        <v>44.300000000000004</v>
      </c>
      <c r="L38" s="142" t="s">
        <v>95</v>
      </c>
      <c r="M38" s="142">
        <f>Invoerenploeg!$C$2</f>
        <v>50</v>
      </c>
      <c r="N38" s="153" t="s">
        <v>81</v>
      </c>
      <c r="O38" s="154">
        <f>Invoerenploeg!$BD$7</f>
        <v>22.15</v>
      </c>
      <c r="P38" s="7">
        <f>Invoerenploeg!$K$7</f>
        <v>2</v>
      </c>
    </row>
    <row r="39" spans="1:16" ht="18.75" customHeight="1">
      <c r="A39" s="135" t="str">
        <f>Invoerenploeg!$BX$7</f>
        <v>x</v>
      </c>
      <c r="B39" s="135" t="str">
        <f>Invoerenploeg!$BV$7</f>
        <v>Denise Hendrix</v>
      </c>
      <c r="C39" s="135">
        <f>Invoerenploeg!$BW$7</f>
        <v>200200990</v>
      </c>
      <c r="F39" s="135"/>
      <c r="G39" s="135"/>
      <c r="H39" s="155">
        <f>Invoerenploeg!$F$7</f>
        <v>0</v>
      </c>
      <c r="J39" s="152"/>
      <c r="L39" s="156" t="s">
        <v>17</v>
      </c>
      <c r="N39" s="142"/>
      <c r="O39" s="143">
        <f>Invoerenploeg!$C$7</f>
        <v>43.668499999999995</v>
      </c>
      <c r="P39" s="157"/>
    </row>
    <row r="40" spans="1:10" ht="18.75" customHeight="1">
      <c r="A40" s="135">
        <f>Invoerenploeg!$CA$7</f>
        <v>0</v>
      </c>
      <c r="B40" s="135">
        <f>Invoerenploeg!$BY$7</f>
        <v>0</v>
      </c>
      <c r="C40" s="135">
        <f>Invoerenploeg!$BZ$7</f>
        <v>0</v>
      </c>
      <c r="F40" s="135"/>
      <c r="G40" s="135"/>
      <c r="H40" s="147"/>
      <c r="I40" s="156"/>
      <c r="J40" s="152"/>
    </row>
    <row r="41" spans="1:13" ht="18.75" customHeight="1">
      <c r="A41" s="135">
        <f>Invoerenploeg!$CD$7</f>
        <v>0</v>
      </c>
      <c r="B41" s="135">
        <f>Invoerenploeg!$CB$7</f>
        <v>0</v>
      </c>
      <c r="C41" s="135">
        <f>Invoerenploeg!$CC$7</f>
        <v>0</v>
      </c>
      <c r="D41" s="135" t="s">
        <v>19</v>
      </c>
      <c r="E41" s="96"/>
      <c r="F41" s="96"/>
      <c r="G41" s="135" t="str">
        <f>Invoerenploeg!$CK$7</f>
        <v>Madagascar</v>
      </c>
      <c r="H41" s="96"/>
      <c r="I41" s="96"/>
      <c r="J41" s="96"/>
      <c r="K41" s="96"/>
      <c r="L41" s="96"/>
      <c r="M41" s="96"/>
    </row>
    <row r="42" spans="1:13" ht="18.75" customHeight="1">
      <c r="A42" s="135">
        <f>Invoerenploeg!$CG$7</f>
        <v>0</v>
      </c>
      <c r="B42" s="135">
        <f>Invoerenploeg!$CE$7</f>
        <v>0</v>
      </c>
      <c r="C42" s="135">
        <f>Invoerenploeg!$CF$7</f>
        <v>0</v>
      </c>
      <c r="D42" s="135" t="s">
        <v>20</v>
      </c>
      <c r="E42" s="96"/>
      <c r="F42" s="96"/>
      <c r="G42" s="135" t="str">
        <f>Invoerenploeg!$CL$7</f>
        <v>Spio Synchro</v>
      </c>
      <c r="H42" s="96"/>
      <c r="I42" s="96"/>
      <c r="J42" s="96"/>
      <c r="K42" s="96"/>
      <c r="L42" s="96"/>
      <c r="M42" s="96"/>
    </row>
    <row r="43" spans="1:10" ht="18.75" customHeight="1">
      <c r="A43" s="135">
        <f>Invoerenploeg!$CJ$7</f>
        <v>0</v>
      </c>
      <c r="B43" s="135">
        <f>Invoerenploeg!$CH$7</f>
        <v>0</v>
      </c>
      <c r="C43" s="135">
        <f>Invoerenploeg!$CI$7</f>
        <v>0</v>
      </c>
      <c r="F43" s="135"/>
      <c r="G43" s="135"/>
      <c r="H43" s="147"/>
      <c r="I43" s="156"/>
      <c r="J43" s="152"/>
    </row>
    <row r="44" ht="3" customHeight="1"/>
    <row r="45" spans="1:16" ht="18.75" customHeight="1">
      <c r="A45" s="155">
        <f>Invoerenploeg!$B$8</f>
        <v>4</v>
      </c>
      <c r="B45" s="161">
        <f>Invoerenploeg!$D$8</f>
        <v>0</v>
      </c>
      <c r="C45" s="125">
        <f>Invoerenploeg!$E$8</f>
        <v>0</v>
      </c>
      <c r="D45" s="268">
        <v>0.3</v>
      </c>
      <c r="E45" s="162">
        <f>Invoerenploeg!$Q$8</f>
        <v>0</v>
      </c>
      <c r="F45" s="162">
        <f>Invoerenploeg!$R$8</f>
        <v>0</v>
      </c>
      <c r="G45" s="162">
        <f>Invoerenploeg!$S$8</f>
        <v>0</v>
      </c>
      <c r="H45" s="163">
        <f>Invoerenploeg!$T$8</f>
        <v>0</v>
      </c>
      <c r="I45" s="163">
        <f>Invoerenploeg!$U$8</f>
        <v>0</v>
      </c>
      <c r="J45" s="136">
        <f>Invoerenploeg!$W$8</f>
        <v>0</v>
      </c>
      <c r="K45" s="130" t="s">
        <v>79</v>
      </c>
      <c r="L45" s="164" t="s">
        <v>80</v>
      </c>
      <c r="M45" s="165">
        <f>Invoerenploeg!$C$1</f>
        <v>50</v>
      </c>
      <c r="N45" s="166" t="s">
        <v>81</v>
      </c>
      <c r="O45" s="167">
        <f>Invoerenploeg!$DH$8*Invoerenploeg!$C$1/100</f>
        <v>0</v>
      </c>
      <c r="P45" s="270">
        <f>Invoerenploeg!$DI$8</f>
      </c>
    </row>
    <row r="46" spans="1:16" ht="18.75" customHeight="1">
      <c r="A46" s="135">
        <f>Invoerenploeg!$BI$8</f>
        <v>0</v>
      </c>
      <c r="B46" s="135">
        <f>Invoerenploeg!$BG$8</f>
        <v>0</v>
      </c>
      <c r="C46" s="135">
        <f>Invoerenploeg!$BH$8</f>
        <v>0</v>
      </c>
      <c r="D46" s="126">
        <v>0.4</v>
      </c>
      <c r="E46" s="127">
        <f>Invoerenploeg!$AD$8</f>
        <v>0</v>
      </c>
      <c r="F46" s="127">
        <f>Invoerenploeg!$AE$8</f>
        <v>0</v>
      </c>
      <c r="G46" s="127">
        <f>Invoerenploeg!$AF$8</f>
        <v>0</v>
      </c>
      <c r="H46" s="128">
        <f>Invoerenploeg!$AG$8</f>
        <v>0</v>
      </c>
      <c r="I46" s="128">
        <f>Invoerenploeg!$AH$8</f>
        <v>0</v>
      </c>
      <c r="J46" s="136">
        <f>Invoerenploeg!$AJ$8</f>
        <v>0</v>
      </c>
      <c r="K46" s="137" t="s">
        <v>82</v>
      </c>
      <c r="L46" s="138" t="s">
        <v>83</v>
      </c>
      <c r="M46" s="139">
        <f>Invoerenploeg!$C$3</f>
        <v>0</v>
      </c>
      <c r="N46" s="140" t="s">
        <v>81</v>
      </c>
      <c r="O46" s="141">
        <f>Invoerenploeg!$H$8*Invoerenploeg!$C$3/100</f>
        <v>0</v>
      </c>
      <c r="P46" s="7">
        <f>Invoerenploeg!$I$8</f>
      </c>
    </row>
    <row r="47" spans="1:11" ht="18.75" customHeight="1">
      <c r="A47" s="135">
        <f>Invoerenploeg!$BL$8</f>
        <v>0</v>
      </c>
      <c r="B47" s="135">
        <f>Invoerenploeg!$BJ$8</f>
        <v>0</v>
      </c>
      <c r="C47" s="135">
        <f>Invoerenploeg!$BK$8</f>
        <v>0</v>
      </c>
      <c r="D47" s="126">
        <v>0.3</v>
      </c>
      <c r="E47" s="127">
        <f>Invoerenploeg!$AQ$8</f>
        <v>0</v>
      </c>
      <c r="F47" s="127">
        <f>Invoerenploeg!$AR$8</f>
        <v>0</v>
      </c>
      <c r="G47" s="127">
        <f>Invoerenploeg!$AS$8</f>
        <v>0</v>
      </c>
      <c r="H47" s="128">
        <f>Invoerenploeg!$AT$8</f>
        <v>0</v>
      </c>
      <c r="I47" s="128">
        <f>Invoerenploeg!$AU$8</f>
        <v>0</v>
      </c>
      <c r="J47" s="136">
        <f>Invoerenploeg!$AW$8</f>
        <v>0</v>
      </c>
      <c r="K47" s="137" t="s">
        <v>84</v>
      </c>
    </row>
    <row r="48" spans="1:10" ht="18.75" customHeight="1">
      <c r="A48" s="135">
        <f>Invoerenploeg!$BO$8</f>
        <v>0</v>
      </c>
      <c r="B48" s="135">
        <f>Invoerenploeg!$BM$8</f>
        <v>0</v>
      </c>
      <c r="C48" s="135">
        <f>Invoerenploeg!$BN$8</f>
        <v>0</v>
      </c>
      <c r="F48" s="144"/>
      <c r="G48" s="144"/>
      <c r="H48" s="145"/>
      <c r="I48" s="145"/>
      <c r="J48" s="146">
        <f>SUM(J45:J47)</f>
        <v>0</v>
      </c>
    </row>
    <row r="49" spans="1:11" ht="18.75" customHeight="1">
      <c r="A49" s="135">
        <f>Invoerenploeg!$BR$8</f>
        <v>0</v>
      </c>
      <c r="B49" s="135">
        <f>Invoerenploeg!$BP$8</f>
        <v>0</v>
      </c>
      <c r="C49" s="135">
        <f>Invoerenploeg!$BQ$8</f>
        <v>0</v>
      </c>
      <c r="F49" s="135"/>
      <c r="G49" s="135"/>
      <c r="H49" s="147"/>
      <c r="I49" s="148" t="s">
        <v>85</v>
      </c>
      <c r="J49" s="149">
        <f>Invoerenploeg!$BA$8</f>
        <v>0</v>
      </c>
      <c r="K49" s="137" t="s">
        <v>86</v>
      </c>
    </row>
    <row r="50" spans="1:16" ht="18.75" customHeight="1">
      <c r="A50" s="135">
        <f>Invoerenploeg!$BU$8</f>
        <v>0</v>
      </c>
      <c r="B50" s="135">
        <f>Invoerenploeg!$BS$8</f>
        <v>0</v>
      </c>
      <c r="C50" s="135">
        <f>Invoerenploeg!$BT$8</f>
        <v>0</v>
      </c>
      <c r="F50" s="135"/>
      <c r="G50" s="135"/>
      <c r="H50" s="147"/>
      <c r="I50" s="148" t="s">
        <v>5</v>
      </c>
      <c r="J50" s="152">
        <f>Invoerenploeg!$BB$8</f>
        <v>0</v>
      </c>
      <c r="L50" s="142" t="s">
        <v>95</v>
      </c>
      <c r="M50" s="142">
        <f>Invoerenploeg!$C$2</f>
        <v>50</v>
      </c>
      <c r="N50" s="153" t="s">
        <v>81</v>
      </c>
      <c r="O50" s="154">
        <f>Invoerenploeg!$BD$8</f>
        <v>0</v>
      </c>
      <c r="P50" s="7">
        <f>Invoerenploeg!$K$8</f>
      </c>
    </row>
    <row r="51" spans="1:16" ht="18.75" customHeight="1">
      <c r="A51" s="135">
        <f>Invoerenploeg!$BX$8</f>
        <v>0</v>
      </c>
      <c r="B51" s="135">
        <f>Invoerenploeg!$BV$8</f>
        <v>0</v>
      </c>
      <c r="C51" s="135">
        <f>Invoerenploeg!$BW$8</f>
        <v>0</v>
      </c>
      <c r="F51" s="135"/>
      <c r="G51" s="135"/>
      <c r="H51" s="155">
        <f>Invoerenploeg!$F$8</f>
        <v>0</v>
      </c>
      <c r="J51" s="152"/>
      <c r="L51" s="156" t="s">
        <v>17</v>
      </c>
      <c r="N51" s="142"/>
      <c r="O51" s="143">
        <f>Invoerenploeg!$C$8</f>
        <v>0</v>
      </c>
      <c r="P51" s="157"/>
    </row>
    <row r="52" spans="1:10" ht="18.75" customHeight="1">
      <c r="A52" s="135">
        <f>Invoerenploeg!$CA$8</f>
        <v>0</v>
      </c>
      <c r="B52" s="135">
        <f>Invoerenploeg!$BY$8</f>
        <v>0</v>
      </c>
      <c r="C52" s="135">
        <f>Invoerenploeg!$BZ$8</f>
        <v>0</v>
      </c>
      <c r="F52" s="135"/>
      <c r="G52" s="135"/>
      <c r="H52" s="147"/>
      <c r="I52" s="156"/>
      <c r="J52" s="152"/>
    </row>
    <row r="53" spans="1:13" ht="18.75" customHeight="1">
      <c r="A53" s="135">
        <f>Invoerenploeg!$CD$8</f>
        <v>0</v>
      </c>
      <c r="B53" s="135">
        <f>Invoerenploeg!$CB$8</f>
        <v>0</v>
      </c>
      <c r="C53" s="135">
        <f>Invoerenploeg!$CC$8</f>
        <v>0</v>
      </c>
      <c r="D53" s="135" t="s">
        <v>19</v>
      </c>
      <c r="E53" s="96"/>
      <c r="F53" s="96"/>
      <c r="G53" s="135">
        <f>Invoerenploeg!$CK$8</f>
        <v>0</v>
      </c>
      <c r="H53" s="96"/>
      <c r="I53" s="96"/>
      <c r="J53" s="96"/>
      <c r="K53" s="96"/>
      <c r="L53" s="96"/>
      <c r="M53" s="96"/>
    </row>
    <row r="54" spans="1:13" ht="18.75" customHeight="1">
      <c r="A54" s="135">
        <f>Invoerenploeg!$CG$8</f>
        <v>0</v>
      </c>
      <c r="B54" s="135">
        <f>Invoerenploeg!$CE$8</f>
        <v>0</v>
      </c>
      <c r="C54" s="135">
        <f>Invoerenploeg!$CF$8</f>
        <v>0</v>
      </c>
      <c r="D54" s="135" t="s">
        <v>20</v>
      </c>
      <c r="E54" s="96"/>
      <c r="F54" s="96"/>
      <c r="G54" s="135">
        <f>Invoerenploeg!$CL$8</f>
        <v>0</v>
      </c>
      <c r="H54" s="96"/>
      <c r="I54" s="96"/>
      <c r="J54" s="96"/>
      <c r="K54" s="96"/>
      <c r="L54" s="96"/>
      <c r="M54" s="96"/>
    </row>
    <row r="55" spans="1:10" ht="18.75" customHeight="1">
      <c r="A55" s="135">
        <f>Invoerenploeg!$CJ$8</f>
        <v>0</v>
      </c>
      <c r="B55" s="135">
        <f>Invoerenploeg!$CH$8</f>
        <v>0</v>
      </c>
      <c r="C55" s="135">
        <f>Invoerenploeg!$CI$8</f>
        <v>0</v>
      </c>
      <c r="F55" s="135"/>
      <c r="G55" s="135"/>
      <c r="H55" s="147"/>
      <c r="I55" s="156"/>
      <c r="J55" s="152"/>
    </row>
    <row r="56" ht="3" customHeight="1"/>
    <row r="57" spans="1:16" ht="19.5" customHeight="1">
      <c r="A57" s="155">
        <f>Invoerenploeg!$B$9</f>
        <v>4</v>
      </c>
      <c r="B57" s="161">
        <f>Invoerenploeg!$D$9</f>
        <v>0</v>
      </c>
      <c r="C57" s="125">
        <f>Invoerenploeg!$E$9</f>
        <v>0</v>
      </c>
      <c r="D57" s="268">
        <v>0.3</v>
      </c>
      <c r="E57" s="162">
        <f>Invoerenploeg!$Q$9</f>
        <v>0</v>
      </c>
      <c r="F57" s="162">
        <f>Invoerenploeg!$R$9</f>
        <v>0</v>
      </c>
      <c r="G57" s="162">
        <f>Invoerenploeg!$S$9</f>
        <v>0</v>
      </c>
      <c r="H57" s="163">
        <f>Invoerenploeg!$T$9</f>
        <v>0</v>
      </c>
      <c r="I57" s="163">
        <f>Invoerenploeg!$U$9</f>
        <v>0</v>
      </c>
      <c r="J57" s="136">
        <f>Invoerenploeg!$W$9</f>
        <v>0</v>
      </c>
      <c r="K57" s="130" t="s">
        <v>79</v>
      </c>
      <c r="L57" s="164" t="s">
        <v>80</v>
      </c>
      <c r="M57" s="165">
        <f>Invoerenploeg!$C$1</f>
        <v>50</v>
      </c>
      <c r="N57" s="166" t="s">
        <v>81</v>
      </c>
      <c r="O57" s="167">
        <f>Invoerenploeg!$DH$9*Invoerenploeg!$C$1/100</f>
        <v>0</v>
      </c>
      <c r="P57" s="270">
        <f>Invoerenploeg!$DI$9</f>
      </c>
    </row>
    <row r="58" spans="1:16" ht="19.5" customHeight="1">
      <c r="A58" s="135">
        <f>Invoerenploeg!$BI$9</f>
        <v>0</v>
      </c>
      <c r="B58" s="135">
        <f>Invoerenploeg!$BG$9</f>
        <v>0</v>
      </c>
      <c r="C58" s="135">
        <f>Invoerenploeg!$BH$9</f>
        <v>0</v>
      </c>
      <c r="D58" s="126">
        <v>0.4</v>
      </c>
      <c r="E58" s="127">
        <f>Invoerenploeg!$AD$9</f>
        <v>0</v>
      </c>
      <c r="F58" s="127">
        <f>Invoerenploeg!$AE$9</f>
        <v>0</v>
      </c>
      <c r="G58" s="127">
        <f>Invoerenploeg!$AF$9</f>
        <v>0</v>
      </c>
      <c r="H58" s="128">
        <f>Invoerenploeg!$AG$9</f>
        <v>0</v>
      </c>
      <c r="I58" s="128">
        <f>Invoerenploeg!$AH$9</f>
        <v>0</v>
      </c>
      <c r="J58" s="136">
        <f>Invoerenploeg!$AJ$9</f>
        <v>0</v>
      </c>
      <c r="K58" s="137" t="s">
        <v>82</v>
      </c>
      <c r="L58" s="138" t="s">
        <v>83</v>
      </c>
      <c r="M58" s="139">
        <f>Invoerenploeg!$C$3</f>
        <v>0</v>
      </c>
      <c r="N58" s="140" t="s">
        <v>81</v>
      </c>
      <c r="O58" s="141">
        <f>Invoerenploeg!$H$9*Invoerenploeg!$C$3/100</f>
        <v>0</v>
      </c>
      <c r="P58" s="7">
        <f>Invoerenploeg!$I$9</f>
      </c>
    </row>
    <row r="59" spans="1:11" ht="19.5" customHeight="1">
      <c r="A59" s="135">
        <f>Invoerenploeg!$BL$9</f>
        <v>0</v>
      </c>
      <c r="B59" s="135">
        <f>Invoerenploeg!$BJ$9</f>
        <v>0</v>
      </c>
      <c r="C59" s="135">
        <f>Invoerenploeg!$BK$9</f>
        <v>0</v>
      </c>
      <c r="D59" s="126">
        <v>0.3</v>
      </c>
      <c r="E59" s="127">
        <f>Invoerenploeg!$AQ$9</f>
        <v>0</v>
      </c>
      <c r="F59" s="127">
        <f>Invoerenploeg!$AR$9</f>
        <v>0</v>
      </c>
      <c r="G59" s="127">
        <f>Invoerenploeg!$AS$9</f>
        <v>0</v>
      </c>
      <c r="H59" s="128">
        <f>Invoerenploeg!$AT$9</f>
        <v>0</v>
      </c>
      <c r="I59" s="128">
        <f>Invoerenploeg!$AU$9</f>
        <v>0</v>
      </c>
      <c r="J59" s="136">
        <f>Invoerenploeg!$AW$9</f>
        <v>0</v>
      </c>
      <c r="K59" s="137" t="s">
        <v>84</v>
      </c>
    </row>
    <row r="60" spans="1:10" ht="19.5" customHeight="1">
      <c r="A60" s="135">
        <f>Invoerenploeg!$BO$9</f>
        <v>0</v>
      </c>
      <c r="B60" s="135">
        <f>Invoerenploeg!$BM$9</f>
        <v>0</v>
      </c>
      <c r="C60" s="135">
        <f>Invoerenploeg!$BN$9</f>
        <v>0</v>
      </c>
      <c r="F60" s="144"/>
      <c r="G60" s="144"/>
      <c r="H60" s="145"/>
      <c r="I60" s="145"/>
      <c r="J60" s="146">
        <f>SUM(J57:J59)</f>
        <v>0</v>
      </c>
    </row>
    <row r="61" spans="1:11" ht="19.5" customHeight="1">
      <c r="A61" s="135">
        <f>Invoerenploeg!$BR$9</f>
        <v>0</v>
      </c>
      <c r="B61" s="135">
        <f>Invoerenploeg!$BP$9</f>
        <v>0</v>
      </c>
      <c r="C61" s="135">
        <f>Invoerenploeg!$BQ$9</f>
        <v>0</v>
      </c>
      <c r="F61" s="135"/>
      <c r="G61" s="135"/>
      <c r="H61" s="147"/>
      <c r="I61" s="148" t="s">
        <v>85</v>
      </c>
      <c r="J61" s="149">
        <f>Invoerenploeg!$BA$9</f>
        <v>0</v>
      </c>
      <c r="K61" s="137" t="s">
        <v>86</v>
      </c>
    </row>
    <row r="62" spans="1:16" ht="19.5" customHeight="1">
      <c r="A62" s="135">
        <f>Invoerenploeg!$BU$9</f>
        <v>0</v>
      </c>
      <c r="B62" s="135">
        <f>Invoerenploeg!$BS$9</f>
        <v>0</v>
      </c>
      <c r="C62" s="135">
        <f>Invoerenploeg!$BT$9</f>
        <v>0</v>
      </c>
      <c r="F62" s="135"/>
      <c r="G62" s="135"/>
      <c r="H62" s="147"/>
      <c r="I62" s="148" t="s">
        <v>5</v>
      </c>
      <c r="J62" s="152">
        <f>Invoerenploeg!$BB$9</f>
        <v>0</v>
      </c>
      <c r="L62" s="142" t="s">
        <v>95</v>
      </c>
      <c r="M62" s="142">
        <f>Invoerenploeg!$C$2</f>
        <v>50</v>
      </c>
      <c r="N62" s="153" t="s">
        <v>81</v>
      </c>
      <c r="O62" s="154">
        <f>Invoerenploeg!$BD$9</f>
        <v>0</v>
      </c>
      <c r="P62" s="7">
        <f>Invoerenploeg!$K$9</f>
      </c>
    </row>
    <row r="63" spans="1:16" ht="19.5" customHeight="1">
      <c r="A63" s="135">
        <f>Invoerenploeg!$BX$9</f>
        <v>0</v>
      </c>
      <c r="B63" s="135">
        <f>Invoerenploeg!$BV$9</f>
        <v>0</v>
      </c>
      <c r="C63" s="135">
        <f>Invoerenploeg!$BW$9</f>
        <v>0</v>
      </c>
      <c r="F63" s="135"/>
      <c r="G63" s="135"/>
      <c r="H63" s="155">
        <f>Invoerenploeg!$F$9</f>
        <v>0</v>
      </c>
      <c r="J63" s="152"/>
      <c r="L63" s="156" t="s">
        <v>17</v>
      </c>
      <c r="N63" s="142"/>
      <c r="O63" s="143">
        <f>Invoerenploeg!$C$9</f>
        <v>0</v>
      </c>
      <c r="P63" s="157"/>
    </row>
    <row r="64" spans="1:10" ht="19.5" customHeight="1">
      <c r="A64" s="135">
        <f>Invoerenploeg!$CA$9</f>
        <v>0</v>
      </c>
      <c r="B64" s="135">
        <f>Invoerenploeg!$BY$9</f>
        <v>0</v>
      </c>
      <c r="C64" s="135">
        <f>Invoerenploeg!$BZ$9</f>
        <v>0</v>
      </c>
      <c r="F64" s="135"/>
      <c r="G64" s="135"/>
      <c r="H64" s="147"/>
      <c r="I64" s="156"/>
      <c r="J64" s="152"/>
    </row>
    <row r="65" spans="1:13" ht="19.5" customHeight="1">
      <c r="A65" s="135">
        <f>Invoerenploeg!$CD$9</f>
        <v>0</v>
      </c>
      <c r="B65" s="135">
        <f>Invoerenploeg!$CB$9</f>
        <v>0</v>
      </c>
      <c r="C65" s="135">
        <f>Invoerenploeg!$CC$9</f>
        <v>0</v>
      </c>
      <c r="D65" s="135" t="s">
        <v>19</v>
      </c>
      <c r="E65" s="96"/>
      <c r="F65" s="96"/>
      <c r="G65" s="135">
        <f>Invoerenploeg!$CK$9</f>
        <v>0</v>
      </c>
      <c r="H65" s="96"/>
      <c r="I65" s="96"/>
      <c r="J65" s="96"/>
      <c r="K65" s="96"/>
      <c r="L65" s="96"/>
      <c r="M65" s="96"/>
    </row>
    <row r="66" spans="1:13" ht="19.5" customHeight="1">
      <c r="A66" s="135">
        <f>Invoerenploeg!$CG$9</f>
        <v>0</v>
      </c>
      <c r="B66" s="135">
        <f>Invoerenploeg!$CE$9</f>
        <v>0</v>
      </c>
      <c r="C66" s="135">
        <f>Invoerenploeg!$CF$9</f>
        <v>0</v>
      </c>
      <c r="D66" s="135" t="s">
        <v>20</v>
      </c>
      <c r="E66" s="96"/>
      <c r="F66" s="96"/>
      <c r="G66" s="135">
        <f>Invoerenploeg!$CL$9</f>
        <v>0</v>
      </c>
      <c r="H66" s="96"/>
      <c r="I66" s="96"/>
      <c r="J66" s="96"/>
      <c r="K66" s="96"/>
      <c r="L66" s="96"/>
      <c r="M66" s="96"/>
    </row>
    <row r="67" spans="1:10" ht="19.5" customHeight="1">
      <c r="A67" s="135">
        <f>Invoerenploeg!$CJ$9</f>
        <v>0</v>
      </c>
      <c r="B67" s="135">
        <f>Invoerenploeg!$CH$9</f>
        <v>0</v>
      </c>
      <c r="C67" s="135">
        <f>Invoerenploeg!$CI$9</f>
        <v>0</v>
      </c>
      <c r="F67" s="135"/>
      <c r="G67" s="135"/>
      <c r="H67" s="147"/>
      <c r="I67" s="156"/>
      <c r="J67" s="152"/>
    </row>
    <row r="68" ht="3" customHeight="1"/>
    <row r="69" spans="1:16" ht="19.5" customHeight="1">
      <c r="A69" s="155">
        <f>Invoerenploeg!$B$10</f>
        <v>4</v>
      </c>
      <c r="B69" s="161">
        <f>Invoerenploeg!$D$10</f>
        <v>0</v>
      </c>
      <c r="C69" s="125">
        <f>Invoerenploeg!$E$10</f>
        <v>0</v>
      </c>
      <c r="D69" s="268">
        <v>0.3</v>
      </c>
      <c r="E69" s="162">
        <f>Invoerenploeg!$Q$10</f>
        <v>0</v>
      </c>
      <c r="F69" s="162">
        <f>Invoerenploeg!$R$10</f>
        <v>0</v>
      </c>
      <c r="G69" s="162">
        <f>Invoerenploeg!$S$10</f>
        <v>0</v>
      </c>
      <c r="H69" s="163">
        <f>Invoerenploeg!$T$10</f>
        <v>0</v>
      </c>
      <c r="I69" s="163">
        <f>Invoerenploeg!$U$10</f>
        <v>0</v>
      </c>
      <c r="J69" s="136">
        <f>Invoerenploeg!$W$10</f>
        <v>0</v>
      </c>
      <c r="K69" s="130" t="s">
        <v>79</v>
      </c>
      <c r="L69" s="164" t="s">
        <v>80</v>
      </c>
      <c r="M69" s="165">
        <f>Invoerenploeg!$C$1</f>
        <v>50</v>
      </c>
      <c r="N69" s="166" t="s">
        <v>81</v>
      </c>
      <c r="O69" s="167">
        <f>Invoerenploeg!$DH$10*Invoerenploeg!$C$1/100</f>
        <v>0</v>
      </c>
      <c r="P69" s="270">
        <f>Invoerenploeg!$DI$10</f>
      </c>
    </row>
    <row r="70" spans="1:16" ht="19.5" customHeight="1">
      <c r="A70" s="135">
        <f>Invoerenploeg!$BI$10</f>
        <v>0</v>
      </c>
      <c r="B70" s="135">
        <f>Invoerenploeg!$BG$10</f>
        <v>0</v>
      </c>
      <c r="C70" s="135">
        <f>Invoerenploeg!$BH$10</f>
        <v>0</v>
      </c>
      <c r="D70" s="126">
        <v>0.4</v>
      </c>
      <c r="E70" s="127">
        <f>Invoerenploeg!$AD$10</f>
        <v>0</v>
      </c>
      <c r="F70" s="127">
        <f>Invoerenploeg!$AE$10</f>
        <v>0</v>
      </c>
      <c r="G70" s="127">
        <f>Invoerenploeg!$AF$10</f>
        <v>0</v>
      </c>
      <c r="H70" s="128">
        <f>Invoerenploeg!$AG$10</f>
        <v>0</v>
      </c>
      <c r="I70" s="128">
        <f>Invoerenploeg!$AH$10</f>
        <v>0</v>
      </c>
      <c r="J70" s="136">
        <f>Invoerenploeg!$AJ$10</f>
        <v>0</v>
      </c>
      <c r="K70" s="137" t="s">
        <v>82</v>
      </c>
      <c r="L70" s="138" t="s">
        <v>83</v>
      </c>
      <c r="M70" s="139">
        <f>Invoerenploeg!$C$3</f>
        <v>0</v>
      </c>
      <c r="N70" s="140" t="s">
        <v>81</v>
      </c>
      <c r="O70" s="141">
        <f>Invoerenploeg!$H$10*Invoerenploeg!$C$3/100</f>
        <v>0</v>
      </c>
      <c r="P70" s="7">
        <f>Invoerenploeg!$I$10</f>
      </c>
    </row>
    <row r="71" spans="1:11" ht="19.5" customHeight="1">
      <c r="A71" s="135">
        <f>Invoerenploeg!$BL$10</f>
        <v>0</v>
      </c>
      <c r="B71" s="135">
        <f>Invoerenploeg!$BJ$10</f>
        <v>0</v>
      </c>
      <c r="C71" s="135">
        <f>Invoerenploeg!$BK$10</f>
        <v>0</v>
      </c>
      <c r="D71" s="126">
        <v>0.3</v>
      </c>
      <c r="E71" s="127">
        <f>Invoerenploeg!$AQ$10</f>
        <v>0</v>
      </c>
      <c r="F71" s="127">
        <f>Invoerenploeg!$AR$10</f>
        <v>0</v>
      </c>
      <c r="G71" s="127">
        <f>Invoerenploeg!$AS$10</f>
        <v>0</v>
      </c>
      <c r="H71" s="128">
        <f>Invoerenploeg!$AT$10</f>
        <v>0</v>
      </c>
      <c r="I71" s="128">
        <f>Invoerenploeg!$AU$10</f>
        <v>0</v>
      </c>
      <c r="J71" s="136">
        <f>Invoerenploeg!$AW$10</f>
        <v>0</v>
      </c>
      <c r="K71" s="137" t="s">
        <v>84</v>
      </c>
    </row>
    <row r="72" spans="1:10" ht="19.5" customHeight="1">
      <c r="A72" s="135">
        <f>Invoerenploeg!$BO$10</f>
        <v>0</v>
      </c>
      <c r="B72" s="135">
        <f>Invoerenploeg!$BM$10</f>
        <v>0</v>
      </c>
      <c r="C72" s="135">
        <f>Invoerenploeg!$BN$10</f>
        <v>0</v>
      </c>
      <c r="F72" s="144"/>
      <c r="G72" s="144"/>
      <c r="H72" s="145"/>
      <c r="I72" s="145"/>
      <c r="J72" s="146">
        <f>SUM(J69:J71)</f>
        <v>0</v>
      </c>
    </row>
    <row r="73" spans="1:11" ht="19.5" customHeight="1">
      <c r="A73" s="135">
        <f>Invoerenploeg!$BR$10</f>
        <v>0</v>
      </c>
      <c r="B73" s="135">
        <f>Invoerenploeg!$BP$10</f>
        <v>0</v>
      </c>
      <c r="C73" s="135">
        <f>Invoerenploeg!$BQ$10</f>
        <v>0</v>
      </c>
      <c r="F73" s="135"/>
      <c r="G73" s="135"/>
      <c r="H73" s="147"/>
      <c r="I73" s="148" t="s">
        <v>85</v>
      </c>
      <c r="J73" s="149">
        <f>Invoerenploeg!$BA$10</f>
        <v>0</v>
      </c>
      <c r="K73" s="137" t="s">
        <v>86</v>
      </c>
    </row>
    <row r="74" spans="1:16" ht="19.5" customHeight="1">
      <c r="A74" s="135">
        <f>Invoerenploeg!$BU$10</f>
        <v>0</v>
      </c>
      <c r="B74" s="135">
        <f>Invoerenploeg!$BS$10</f>
        <v>0</v>
      </c>
      <c r="C74" s="135">
        <f>Invoerenploeg!$BT$10</f>
        <v>0</v>
      </c>
      <c r="F74" s="135"/>
      <c r="G74" s="135"/>
      <c r="H74" s="147"/>
      <c r="I74" s="148" t="s">
        <v>5</v>
      </c>
      <c r="J74" s="152">
        <f>Invoerenploeg!$BB$10</f>
        <v>0</v>
      </c>
      <c r="L74" s="142" t="s">
        <v>95</v>
      </c>
      <c r="M74" s="142">
        <f>Invoerenploeg!$C$2</f>
        <v>50</v>
      </c>
      <c r="N74" s="153" t="s">
        <v>81</v>
      </c>
      <c r="O74" s="154">
        <f>Invoerenploeg!$BD$10</f>
        <v>0</v>
      </c>
      <c r="P74" s="7">
        <f>Invoerenploeg!$K$10</f>
      </c>
    </row>
    <row r="75" spans="1:16" ht="19.5" customHeight="1">
      <c r="A75" s="135">
        <f>Invoerenploeg!$BX$10</f>
        <v>0</v>
      </c>
      <c r="B75" s="135">
        <f>Invoerenploeg!$BV$10</f>
        <v>0</v>
      </c>
      <c r="C75" s="135">
        <f>Invoerenploeg!$BW$10</f>
        <v>0</v>
      </c>
      <c r="F75" s="135"/>
      <c r="G75" s="135"/>
      <c r="H75" s="155">
        <f>Invoerenploeg!$F$10</f>
        <v>0</v>
      </c>
      <c r="J75" s="152"/>
      <c r="L75" s="156" t="s">
        <v>17</v>
      </c>
      <c r="N75" s="142"/>
      <c r="O75" s="143">
        <f>Invoerenploeg!$C$10</f>
        <v>0</v>
      </c>
      <c r="P75" s="157"/>
    </row>
    <row r="76" spans="1:10" ht="19.5" customHeight="1">
      <c r="A76" s="135">
        <f>Invoerenploeg!$CA$10</f>
        <v>0</v>
      </c>
      <c r="B76" s="135">
        <f>Invoerenploeg!$BY$10</f>
        <v>0</v>
      </c>
      <c r="C76" s="135">
        <f>Invoerenploeg!$BZ$10</f>
        <v>0</v>
      </c>
      <c r="F76" s="135"/>
      <c r="G76" s="135"/>
      <c r="H76" s="147"/>
      <c r="I76" s="156"/>
      <c r="J76" s="152"/>
    </row>
    <row r="77" spans="1:13" ht="19.5" customHeight="1">
      <c r="A77" s="135">
        <f>Invoerenploeg!$CD$10</f>
        <v>0</v>
      </c>
      <c r="B77" s="135">
        <f>Invoerenploeg!$CB$10</f>
        <v>0</v>
      </c>
      <c r="C77" s="135">
        <f>Invoerenploeg!$CC$10</f>
        <v>0</v>
      </c>
      <c r="D77" s="135" t="s">
        <v>19</v>
      </c>
      <c r="E77" s="96"/>
      <c r="F77" s="96"/>
      <c r="G77" s="135">
        <f>Invoerenploeg!$CK$10</f>
        <v>0</v>
      </c>
      <c r="H77" s="96"/>
      <c r="I77" s="96"/>
      <c r="J77" s="96"/>
      <c r="K77" s="96"/>
      <c r="L77" s="96"/>
      <c r="M77" s="96"/>
    </row>
    <row r="78" spans="1:13" ht="19.5" customHeight="1">
      <c r="A78" s="135">
        <f>Invoerenploeg!$CG$10</f>
        <v>0</v>
      </c>
      <c r="B78" s="135">
        <f>Invoerenploeg!$CE$10</f>
        <v>0</v>
      </c>
      <c r="C78" s="135">
        <f>Invoerenploeg!$CF$10</f>
        <v>0</v>
      </c>
      <c r="D78" s="135" t="s">
        <v>20</v>
      </c>
      <c r="E78" s="96"/>
      <c r="F78" s="96"/>
      <c r="G78" s="135">
        <f>Invoerenploeg!$CL$10</f>
        <v>0</v>
      </c>
      <c r="H78" s="96"/>
      <c r="I78" s="96"/>
      <c r="J78" s="96"/>
      <c r="K78" s="96"/>
      <c r="L78" s="96"/>
      <c r="M78" s="96"/>
    </row>
    <row r="79" spans="1:10" ht="19.5" customHeight="1">
      <c r="A79" s="135">
        <f>Invoerenploeg!$CJ$10</f>
        <v>0</v>
      </c>
      <c r="B79" s="135">
        <f>Invoerenploeg!$CH$10</f>
        <v>0</v>
      </c>
      <c r="C79" s="135">
        <f>Invoerenploeg!$CI$10</f>
        <v>0</v>
      </c>
      <c r="F79" s="135"/>
      <c r="G79" s="135"/>
      <c r="H79" s="147"/>
      <c r="I79" s="156"/>
      <c r="J79" s="152"/>
    </row>
    <row r="80" ht="3" customHeight="1"/>
    <row r="81" spans="1:16" ht="19.5" customHeight="1">
      <c r="A81" s="155">
        <f>Invoerenploeg!$B$11</f>
        <v>4</v>
      </c>
      <c r="B81" s="161">
        <f>Invoerenploeg!$D$11</f>
        <v>0</v>
      </c>
      <c r="C81" s="125">
        <f>Invoerenploeg!$E$11</f>
        <v>0</v>
      </c>
      <c r="D81" s="268">
        <v>0.3</v>
      </c>
      <c r="E81" s="162">
        <f>Invoerenploeg!$Q$11</f>
        <v>0</v>
      </c>
      <c r="F81" s="162">
        <f>Invoerenploeg!$R$11</f>
        <v>0</v>
      </c>
      <c r="G81" s="162">
        <f>Invoerenploeg!$S$11</f>
        <v>0</v>
      </c>
      <c r="H81" s="163">
        <f>Invoerenploeg!$T$11</f>
        <v>0</v>
      </c>
      <c r="I81" s="163">
        <f>Invoerenploeg!$U$11</f>
        <v>0</v>
      </c>
      <c r="J81" s="136">
        <f>Invoerenploeg!$W$11</f>
        <v>0</v>
      </c>
      <c r="K81" s="130" t="s">
        <v>79</v>
      </c>
      <c r="L81" s="164" t="s">
        <v>80</v>
      </c>
      <c r="M81" s="165">
        <f>Invoerenploeg!$C$1</f>
        <v>50</v>
      </c>
      <c r="N81" s="166" t="s">
        <v>81</v>
      </c>
      <c r="O81" s="167">
        <f>Invoerenploeg!$DH$11*Invoerenploeg!$C$1/100</f>
        <v>0</v>
      </c>
      <c r="P81" s="270">
        <f>Invoerenploeg!$DI$11</f>
      </c>
    </row>
    <row r="82" spans="1:16" ht="19.5" customHeight="1">
      <c r="A82" s="135">
        <f>Invoerenploeg!$BI$11</f>
        <v>0</v>
      </c>
      <c r="B82" s="135">
        <f>Invoerenploeg!$BG$11</f>
        <v>0</v>
      </c>
      <c r="C82" s="135">
        <f>Invoerenploeg!$BH$11</f>
        <v>0</v>
      </c>
      <c r="D82" s="126">
        <v>0.4</v>
      </c>
      <c r="E82" s="127">
        <f>Invoerenploeg!$AD$11</f>
        <v>0</v>
      </c>
      <c r="F82" s="127">
        <f>Invoerenploeg!$AE$11</f>
        <v>0</v>
      </c>
      <c r="G82" s="127">
        <f>Invoerenploeg!$AF$11</f>
        <v>0</v>
      </c>
      <c r="H82" s="128">
        <f>Invoerenploeg!$AG$11</f>
        <v>0</v>
      </c>
      <c r="I82" s="128">
        <f>Invoerenploeg!$AH$11</f>
        <v>0</v>
      </c>
      <c r="J82" s="136">
        <f>Invoerenploeg!$AJ$11</f>
        <v>0</v>
      </c>
      <c r="K82" s="137" t="s">
        <v>82</v>
      </c>
      <c r="L82" s="138" t="s">
        <v>83</v>
      </c>
      <c r="M82" s="139">
        <f>Invoerenploeg!$C$3</f>
        <v>0</v>
      </c>
      <c r="N82" s="140" t="s">
        <v>81</v>
      </c>
      <c r="O82" s="141">
        <f>Invoerenploeg!$H$11*Invoerenploeg!$C$3/100</f>
        <v>0</v>
      </c>
      <c r="P82" s="7">
        <f>Invoerenploeg!$I$11</f>
      </c>
    </row>
    <row r="83" spans="1:11" ht="19.5" customHeight="1">
      <c r="A83" s="135">
        <f>Invoerenploeg!$BL$11</f>
        <v>0</v>
      </c>
      <c r="B83" s="135">
        <f>Invoerenploeg!$BJ$11</f>
        <v>0</v>
      </c>
      <c r="C83" s="135">
        <f>Invoerenploeg!$BK$11</f>
        <v>0</v>
      </c>
      <c r="D83" s="126">
        <v>0.3</v>
      </c>
      <c r="E83" s="127">
        <f>Invoerenploeg!$AQ$11</f>
        <v>0</v>
      </c>
      <c r="F83" s="127">
        <f>Invoerenploeg!$AR$11</f>
        <v>0</v>
      </c>
      <c r="G83" s="127">
        <f>Invoerenploeg!$AS$11</f>
        <v>0</v>
      </c>
      <c r="H83" s="128">
        <f>Invoerenploeg!$AT$11</f>
        <v>0</v>
      </c>
      <c r="I83" s="128">
        <f>Invoerenploeg!$AU$11</f>
        <v>0</v>
      </c>
      <c r="J83" s="136">
        <f>Invoerenploeg!$AW$11</f>
        <v>0</v>
      </c>
      <c r="K83" s="137" t="s">
        <v>84</v>
      </c>
    </row>
    <row r="84" spans="1:10" ht="19.5" customHeight="1">
      <c r="A84" s="135">
        <f>Invoerenploeg!$BO$11</f>
        <v>0</v>
      </c>
      <c r="B84" s="135">
        <f>Invoerenploeg!$BM$11</f>
        <v>0</v>
      </c>
      <c r="C84" s="135">
        <f>Invoerenploeg!$BN$11</f>
        <v>0</v>
      </c>
      <c r="F84" s="144"/>
      <c r="G84" s="144"/>
      <c r="H84" s="145"/>
      <c r="I84" s="145"/>
      <c r="J84" s="146">
        <f>SUM(J81:J83)</f>
        <v>0</v>
      </c>
    </row>
    <row r="85" spans="1:11" ht="19.5" customHeight="1">
      <c r="A85" s="135">
        <f>Invoerenploeg!$BR$11</f>
        <v>0</v>
      </c>
      <c r="B85" s="135">
        <f>Invoerenploeg!$BP$11</f>
        <v>0</v>
      </c>
      <c r="C85" s="135">
        <f>Invoerenploeg!$BQ$11</f>
        <v>0</v>
      </c>
      <c r="F85" s="135"/>
      <c r="G85" s="135"/>
      <c r="H85" s="147"/>
      <c r="I85" s="148" t="s">
        <v>85</v>
      </c>
      <c r="J85" s="149">
        <f>Invoerenploeg!$BA$11</f>
        <v>0</v>
      </c>
      <c r="K85" s="137" t="s">
        <v>86</v>
      </c>
    </row>
    <row r="86" spans="1:16" ht="19.5" customHeight="1">
      <c r="A86" s="135">
        <f>Invoerenploeg!$BU$11</f>
        <v>0</v>
      </c>
      <c r="B86" s="135">
        <f>Invoerenploeg!$BS$11</f>
        <v>0</v>
      </c>
      <c r="C86" s="135">
        <f>Invoerenploeg!$BT$11</f>
        <v>0</v>
      </c>
      <c r="F86" s="135"/>
      <c r="G86" s="135"/>
      <c r="H86" s="147"/>
      <c r="I86" s="148" t="s">
        <v>5</v>
      </c>
      <c r="J86" s="152">
        <f>Invoerenploeg!$BB$11</f>
        <v>0</v>
      </c>
      <c r="L86" s="142" t="s">
        <v>95</v>
      </c>
      <c r="M86" s="142">
        <f>Invoerenploeg!$C$2</f>
        <v>50</v>
      </c>
      <c r="N86" s="153" t="s">
        <v>81</v>
      </c>
      <c r="O86" s="154">
        <f>Invoerenploeg!$BD$11</f>
        <v>0</v>
      </c>
      <c r="P86" s="7">
        <f>Invoerenploeg!$K$11</f>
      </c>
    </row>
    <row r="87" spans="1:16" ht="19.5" customHeight="1">
      <c r="A87" s="135">
        <f>Invoerenploeg!$BX$11</f>
        <v>0</v>
      </c>
      <c r="B87" s="135">
        <f>Invoerenploeg!$BV$11</f>
        <v>0</v>
      </c>
      <c r="C87" s="135">
        <f>Invoerenploeg!$BW$11</f>
        <v>0</v>
      </c>
      <c r="F87" s="135"/>
      <c r="G87" s="135"/>
      <c r="H87" s="155">
        <f>Invoerenploeg!$F$11</f>
        <v>0</v>
      </c>
      <c r="J87" s="152"/>
      <c r="L87" s="156" t="s">
        <v>17</v>
      </c>
      <c r="N87" s="142"/>
      <c r="O87" s="143">
        <f>Invoerenploeg!$C$11</f>
        <v>0</v>
      </c>
      <c r="P87" s="157"/>
    </row>
    <row r="88" spans="1:10" ht="19.5" customHeight="1">
      <c r="A88" s="135">
        <f>Invoerenploeg!$CA$11</f>
        <v>0</v>
      </c>
      <c r="B88" s="135">
        <f>Invoerenploeg!$BY$11</f>
        <v>0</v>
      </c>
      <c r="C88" s="135">
        <f>Invoerenploeg!$BZ$11</f>
        <v>0</v>
      </c>
      <c r="F88" s="135"/>
      <c r="G88" s="135"/>
      <c r="H88" s="147"/>
      <c r="I88" s="156"/>
      <c r="J88" s="152"/>
    </row>
    <row r="89" spans="1:13" ht="19.5" customHeight="1">
      <c r="A89" s="135">
        <f>Invoerenploeg!$CD$11</f>
        <v>0</v>
      </c>
      <c r="B89" s="135">
        <f>Invoerenploeg!$CB$11</f>
        <v>0</v>
      </c>
      <c r="C89" s="135">
        <f>Invoerenploeg!$CC$11</f>
        <v>0</v>
      </c>
      <c r="D89" s="135" t="s">
        <v>19</v>
      </c>
      <c r="E89" s="96"/>
      <c r="F89" s="96"/>
      <c r="G89" s="135">
        <f>Invoerenploeg!$CK$11</f>
        <v>0</v>
      </c>
      <c r="H89" s="96"/>
      <c r="I89" s="96"/>
      <c r="J89" s="96"/>
      <c r="K89" s="96"/>
      <c r="L89" s="96"/>
      <c r="M89" s="96"/>
    </row>
    <row r="90" spans="1:13" ht="19.5" customHeight="1">
      <c r="A90" s="135">
        <f>Invoerenploeg!$CG$11</f>
        <v>0</v>
      </c>
      <c r="B90" s="135">
        <f>Invoerenploeg!$CE$11</f>
        <v>0</v>
      </c>
      <c r="C90" s="135">
        <f>Invoerenploeg!$CF$11</f>
        <v>0</v>
      </c>
      <c r="D90" s="135" t="s">
        <v>20</v>
      </c>
      <c r="E90" s="96"/>
      <c r="F90" s="96"/>
      <c r="G90" s="135">
        <f>Invoerenploeg!$CL$11</f>
        <v>0</v>
      </c>
      <c r="H90" s="96"/>
      <c r="I90" s="96"/>
      <c r="J90" s="96"/>
      <c r="K90" s="96"/>
      <c r="L90" s="96"/>
      <c r="M90" s="96"/>
    </row>
    <row r="91" spans="1:10" ht="19.5" customHeight="1">
      <c r="A91" s="135">
        <f>Invoerenploeg!$CJ$11</f>
        <v>0</v>
      </c>
      <c r="B91" s="135">
        <f>Invoerenploeg!$CH$11</f>
        <v>0</v>
      </c>
      <c r="C91" s="135">
        <f>Invoerenploeg!$CI$11</f>
        <v>0</v>
      </c>
      <c r="F91" s="135"/>
      <c r="G91" s="135"/>
      <c r="H91" s="147"/>
      <c r="I91" s="156"/>
      <c r="J91" s="152"/>
    </row>
    <row r="92" ht="3" customHeight="1"/>
    <row r="93" spans="1:16" ht="19.5" customHeight="1">
      <c r="A93" s="155">
        <f>Invoerenploeg!$B$12</f>
        <v>4</v>
      </c>
      <c r="B93" s="161">
        <f>Invoerenploeg!$D$12</f>
        <v>0</v>
      </c>
      <c r="C93" s="125">
        <f>Invoerenploeg!$E$12</f>
        <v>0</v>
      </c>
      <c r="D93" s="268">
        <v>0.3</v>
      </c>
      <c r="E93" s="162">
        <f>Invoerenploeg!$Q$12</f>
        <v>0</v>
      </c>
      <c r="F93" s="162">
        <f>Invoerenploeg!$R$12</f>
        <v>0</v>
      </c>
      <c r="G93" s="162">
        <f>Invoerenploeg!$S$12</f>
        <v>0</v>
      </c>
      <c r="H93" s="163">
        <f>Invoerenploeg!$T$12</f>
        <v>0</v>
      </c>
      <c r="I93" s="163">
        <f>Invoerenploeg!$U$12</f>
        <v>0</v>
      </c>
      <c r="J93" s="136">
        <f>Invoerenploeg!$W$12</f>
        <v>0</v>
      </c>
      <c r="K93" s="130" t="s">
        <v>79</v>
      </c>
      <c r="L93" s="164" t="s">
        <v>80</v>
      </c>
      <c r="M93" s="165">
        <f>Invoerenploeg!$C$1</f>
        <v>50</v>
      </c>
      <c r="N93" s="166" t="s">
        <v>81</v>
      </c>
      <c r="O93" s="167">
        <f>Invoerenploeg!$DH$12*Invoerenploeg!$C$1/100</f>
        <v>0</v>
      </c>
      <c r="P93" s="270">
        <f>Invoerenploeg!$DI$12</f>
      </c>
    </row>
    <row r="94" spans="1:16" ht="19.5" customHeight="1">
      <c r="A94" s="135">
        <f>Invoerenploeg!$BI$12</f>
        <v>0</v>
      </c>
      <c r="B94" s="135">
        <f>Invoerenploeg!$BG$12</f>
        <v>0</v>
      </c>
      <c r="C94" s="135">
        <f>Invoerenploeg!$BH$12</f>
        <v>0</v>
      </c>
      <c r="D94" s="126">
        <v>0.4</v>
      </c>
      <c r="E94" s="127">
        <f>Invoerenploeg!$AD$12</f>
        <v>0</v>
      </c>
      <c r="F94" s="127">
        <f>Invoerenploeg!$AE$12</f>
        <v>0</v>
      </c>
      <c r="G94" s="127">
        <f>Invoerenploeg!$AF$12</f>
        <v>0</v>
      </c>
      <c r="H94" s="128">
        <f>Invoerenploeg!$AG$12</f>
        <v>0</v>
      </c>
      <c r="I94" s="128">
        <f>Invoerenploeg!$AH$12</f>
        <v>0</v>
      </c>
      <c r="J94" s="136">
        <f>Invoerenploeg!$AJ$12</f>
        <v>0</v>
      </c>
      <c r="K94" s="137" t="s">
        <v>82</v>
      </c>
      <c r="L94" s="138" t="s">
        <v>83</v>
      </c>
      <c r="M94" s="139">
        <f>Invoerenploeg!$C$3</f>
        <v>0</v>
      </c>
      <c r="N94" s="140" t="s">
        <v>81</v>
      </c>
      <c r="O94" s="141">
        <f>Invoerenploeg!$H$12*Invoerenploeg!$C$3/100</f>
        <v>0</v>
      </c>
      <c r="P94" s="7">
        <f>Invoerenploeg!$I$12</f>
      </c>
    </row>
    <row r="95" spans="1:11" ht="19.5" customHeight="1">
      <c r="A95" s="135">
        <f>Invoerenploeg!$BL$12</f>
        <v>0</v>
      </c>
      <c r="B95" s="135">
        <f>Invoerenploeg!$BJ$12</f>
        <v>0</v>
      </c>
      <c r="C95" s="135">
        <f>Invoerenploeg!$BK$12</f>
        <v>0</v>
      </c>
      <c r="D95" s="126">
        <v>0.3</v>
      </c>
      <c r="E95" s="127">
        <f>Invoerenploeg!$AQ$12</f>
        <v>0</v>
      </c>
      <c r="F95" s="127">
        <f>Invoerenploeg!$AR$12</f>
        <v>0</v>
      </c>
      <c r="G95" s="127">
        <f>Invoerenploeg!$AS$12</f>
        <v>0</v>
      </c>
      <c r="H95" s="128">
        <f>Invoerenploeg!$AT$12</f>
        <v>0</v>
      </c>
      <c r="I95" s="128">
        <f>Invoerenploeg!$AU$12</f>
        <v>0</v>
      </c>
      <c r="J95" s="136">
        <f>Invoerenploeg!$AW$12</f>
        <v>0</v>
      </c>
      <c r="K95" s="137" t="s">
        <v>84</v>
      </c>
    </row>
    <row r="96" spans="1:10" ht="19.5" customHeight="1">
      <c r="A96" s="135">
        <f>Invoerenploeg!$BO$12</f>
        <v>0</v>
      </c>
      <c r="B96" s="135">
        <f>Invoerenploeg!$BM$12</f>
        <v>0</v>
      </c>
      <c r="C96" s="135">
        <f>Invoerenploeg!$BN$12</f>
        <v>0</v>
      </c>
      <c r="F96" s="144"/>
      <c r="G96" s="144"/>
      <c r="H96" s="145"/>
      <c r="I96" s="145"/>
      <c r="J96" s="146">
        <f>SUM(J93:J95)</f>
        <v>0</v>
      </c>
    </row>
    <row r="97" spans="1:11" ht="19.5" customHeight="1">
      <c r="A97" s="135">
        <f>Invoerenploeg!$BR$12</f>
        <v>0</v>
      </c>
      <c r="B97" s="135">
        <f>Invoerenploeg!$BP$12</f>
        <v>0</v>
      </c>
      <c r="C97" s="135">
        <f>Invoerenploeg!$BQ$12</f>
        <v>0</v>
      </c>
      <c r="F97" s="135"/>
      <c r="G97" s="135"/>
      <c r="H97" s="147"/>
      <c r="I97" s="148" t="s">
        <v>85</v>
      </c>
      <c r="J97" s="149">
        <f>Invoerenploeg!$BA$12</f>
        <v>0</v>
      </c>
      <c r="K97" s="137" t="s">
        <v>86</v>
      </c>
    </row>
    <row r="98" spans="1:16" ht="19.5" customHeight="1">
      <c r="A98" s="135">
        <f>Invoerenploeg!$BU$12</f>
        <v>0</v>
      </c>
      <c r="B98" s="135">
        <f>Invoerenploeg!$BS$12</f>
        <v>0</v>
      </c>
      <c r="C98" s="135">
        <f>Invoerenploeg!$BT$12</f>
        <v>0</v>
      </c>
      <c r="F98" s="135"/>
      <c r="G98" s="135"/>
      <c r="H98" s="147"/>
      <c r="I98" s="148" t="s">
        <v>5</v>
      </c>
      <c r="J98" s="152">
        <f>Invoerenploeg!$BB$12</f>
        <v>0</v>
      </c>
      <c r="L98" s="142" t="s">
        <v>95</v>
      </c>
      <c r="M98" s="142">
        <f>Invoerenploeg!$C$2</f>
        <v>50</v>
      </c>
      <c r="N98" s="153" t="s">
        <v>81</v>
      </c>
      <c r="O98" s="154">
        <f>Invoerenploeg!$BD$12</f>
        <v>0</v>
      </c>
      <c r="P98" s="7">
        <f>Invoerenploeg!$K$12</f>
      </c>
    </row>
    <row r="99" spans="1:16" ht="19.5" customHeight="1">
      <c r="A99" s="135">
        <f>Invoerenploeg!$BX$12</f>
        <v>0</v>
      </c>
      <c r="B99" s="135">
        <f>Invoerenploeg!$BV$12</f>
        <v>0</v>
      </c>
      <c r="C99" s="135">
        <f>Invoerenploeg!$BW$12</f>
        <v>0</v>
      </c>
      <c r="F99" s="135"/>
      <c r="G99" s="135"/>
      <c r="H99" s="155">
        <f>Invoerenploeg!$F$12</f>
        <v>0</v>
      </c>
      <c r="J99" s="152"/>
      <c r="L99" s="156" t="s">
        <v>17</v>
      </c>
      <c r="N99" s="142"/>
      <c r="O99" s="143">
        <f>Invoerenploeg!$C$12</f>
        <v>0</v>
      </c>
      <c r="P99" s="157"/>
    </row>
    <row r="100" spans="1:10" ht="19.5" customHeight="1">
      <c r="A100" s="135">
        <f>Invoerenploeg!$CA$12</f>
        <v>0</v>
      </c>
      <c r="B100" s="135">
        <f>Invoerenploeg!$BY$12</f>
        <v>0</v>
      </c>
      <c r="C100" s="135">
        <f>Invoerenploeg!$BZ$12</f>
        <v>0</v>
      </c>
      <c r="F100" s="135"/>
      <c r="G100" s="135"/>
      <c r="H100" s="147"/>
      <c r="I100" s="156"/>
      <c r="J100" s="152"/>
    </row>
    <row r="101" spans="1:13" ht="19.5" customHeight="1">
      <c r="A101" s="135">
        <f>Invoerenploeg!$CD$12</f>
        <v>0</v>
      </c>
      <c r="B101" s="135">
        <f>Invoerenploeg!$CB$12</f>
        <v>0</v>
      </c>
      <c r="C101" s="135">
        <f>Invoerenploeg!$CC$12</f>
        <v>0</v>
      </c>
      <c r="D101" s="135" t="s">
        <v>19</v>
      </c>
      <c r="E101" s="96"/>
      <c r="F101" s="96"/>
      <c r="G101" s="135">
        <f>Invoerenploeg!$CK$12</f>
        <v>0</v>
      </c>
      <c r="H101" s="96"/>
      <c r="I101" s="96"/>
      <c r="J101" s="96"/>
      <c r="K101" s="96"/>
      <c r="L101" s="96"/>
      <c r="M101" s="96"/>
    </row>
    <row r="102" spans="1:13" ht="19.5" customHeight="1">
      <c r="A102" s="135">
        <f>Invoerenploeg!$CG$12</f>
        <v>0</v>
      </c>
      <c r="B102" s="135">
        <f>Invoerenploeg!$CE$12</f>
        <v>0</v>
      </c>
      <c r="C102" s="135">
        <f>Invoerenploeg!$CF$12</f>
        <v>0</v>
      </c>
      <c r="D102" s="135" t="s">
        <v>20</v>
      </c>
      <c r="E102" s="96"/>
      <c r="F102" s="96"/>
      <c r="G102" s="135">
        <f>Invoerenploeg!$CL$12</f>
        <v>0</v>
      </c>
      <c r="H102" s="96"/>
      <c r="I102" s="96"/>
      <c r="J102" s="96"/>
      <c r="K102" s="96"/>
      <c r="L102" s="96"/>
      <c r="M102" s="96"/>
    </row>
    <row r="103" spans="1:10" ht="19.5" customHeight="1">
      <c r="A103" s="135">
        <f>Invoerenploeg!$CJ$12</f>
        <v>0</v>
      </c>
      <c r="B103" s="135">
        <f>Invoerenploeg!$CH$12</f>
        <v>0</v>
      </c>
      <c r="C103" s="135">
        <f>Invoerenploeg!$CI$12</f>
        <v>0</v>
      </c>
      <c r="F103" s="135"/>
      <c r="G103" s="135"/>
      <c r="H103" s="147"/>
      <c r="I103" s="156"/>
      <c r="J103" s="152"/>
    </row>
    <row r="104" ht="3" customHeight="1"/>
    <row r="105" spans="1:16" ht="19.5" customHeight="1">
      <c r="A105" s="155">
        <f>Invoerenploeg!$B$13</f>
        <v>4</v>
      </c>
      <c r="B105" s="161">
        <f>Invoerenploeg!$D$13</f>
        <v>0</v>
      </c>
      <c r="C105" s="125">
        <f>Invoerenploeg!$E$13</f>
        <v>0</v>
      </c>
      <c r="D105" s="268">
        <v>0.3</v>
      </c>
      <c r="E105" s="162">
        <f>Invoerenploeg!$Q$13</f>
        <v>0</v>
      </c>
      <c r="F105" s="162">
        <f>Invoerenploeg!$R$13</f>
        <v>0</v>
      </c>
      <c r="G105" s="162">
        <f>Invoerenploeg!$S$13</f>
        <v>0</v>
      </c>
      <c r="H105" s="163">
        <f>Invoerenploeg!$T$13</f>
        <v>0</v>
      </c>
      <c r="I105" s="163">
        <f>Invoerenploeg!$U$13</f>
        <v>0</v>
      </c>
      <c r="J105" s="136">
        <f>Invoerenploeg!$W$13</f>
        <v>0</v>
      </c>
      <c r="K105" s="130" t="s">
        <v>79</v>
      </c>
      <c r="L105" s="164" t="s">
        <v>80</v>
      </c>
      <c r="M105" s="165">
        <f>Invoerenploeg!$C$1</f>
        <v>50</v>
      </c>
      <c r="N105" s="166" t="s">
        <v>81</v>
      </c>
      <c r="O105" s="167">
        <f>Invoerenploeg!$DH$13*Invoerenploeg!$C$1/100</f>
        <v>0</v>
      </c>
      <c r="P105" s="270">
        <f>Invoerenploeg!$DI$13</f>
      </c>
    </row>
    <row r="106" spans="1:16" ht="19.5" customHeight="1">
      <c r="A106" s="135">
        <f>Invoerenploeg!$BI$13</f>
        <v>0</v>
      </c>
      <c r="B106" s="135">
        <f>Invoerenploeg!$BG$13</f>
        <v>0</v>
      </c>
      <c r="C106" s="135">
        <f>Invoerenploeg!$BH$13</f>
        <v>0</v>
      </c>
      <c r="D106" s="126">
        <v>0.4</v>
      </c>
      <c r="E106" s="127">
        <f>Invoerenploeg!$AD$13</f>
        <v>0</v>
      </c>
      <c r="F106" s="127">
        <f>Invoerenploeg!$AE$13</f>
        <v>0</v>
      </c>
      <c r="G106" s="127">
        <f>Invoerenploeg!$AF$13</f>
        <v>0</v>
      </c>
      <c r="H106" s="128">
        <f>Invoerenploeg!$AG$13</f>
        <v>0</v>
      </c>
      <c r="I106" s="128">
        <f>Invoerenploeg!$AH$13</f>
        <v>0</v>
      </c>
      <c r="J106" s="136">
        <f>Invoerenploeg!$AJ$13</f>
        <v>0</v>
      </c>
      <c r="K106" s="137" t="s">
        <v>82</v>
      </c>
      <c r="L106" s="138" t="s">
        <v>83</v>
      </c>
      <c r="M106" s="139">
        <f>Invoerenploeg!$C$3</f>
        <v>0</v>
      </c>
      <c r="N106" s="140" t="s">
        <v>81</v>
      </c>
      <c r="O106" s="141">
        <f>Invoerenploeg!$H$13*Invoerenploeg!$C$3/100</f>
        <v>0</v>
      </c>
      <c r="P106" s="7">
        <f>Invoerenploeg!$I$13</f>
      </c>
    </row>
    <row r="107" spans="1:11" ht="19.5" customHeight="1">
      <c r="A107" s="135">
        <f>Invoerenploeg!$BL$13</f>
        <v>0</v>
      </c>
      <c r="B107" s="135">
        <f>Invoerenploeg!$BJ$13</f>
        <v>0</v>
      </c>
      <c r="C107" s="135">
        <f>Invoerenploeg!$BK$13</f>
        <v>0</v>
      </c>
      <c r="D107" s="126">
        <v>0.3</v>
      </c>
      <c r="E107" s="127">
        <f>Invoerenploeg!$AQ$13</f>
        <v>0</v>
      </c>
      <c r="F107" s="127">
        <f>Invoerenploeg!$AR$13</f>
        <v>0</v>
      </c>
      <c r="G107" s="127">
        <f>Invoerenploeg!$AS$13</f>
        <v>0</v>
      </c>
      <c r="H107" s="128">
        <f>Invoerenploeg!$AT$13</f>
        <v>0</v>
      </c>
      <c r="I107" s="128">
        <f>Invoerenploeg!$AU$13</f>
        <v>0</v>
      </c>
      <c r="J107" s="136">
        <f>Invoerenploeg!$AW$13</f>
        <v>0</v>
      </c>
      <c r="K107" s="137" t="s">
        <v>84</v>
      </c>
    </row>
    <row r="108" spans="1:10" ht="19.5" customHeight="1">
      <c r="A108" s="135">
        <f>Invoerenploeg!$BO$13</f>
        <v>0</v>
      </c>
      <c r="B108" s="135">
        <f>Invoerenploeg!$BM$13</f>
        <v>0</v>
      </c>
      <c r="C108" s="135">
        <f>Invoerenploeg!$BN$13</f>
        <v>0</v>
      </c>
      <c r="F108" s="144"/>
      <c r="G108" s="144"/>
      <c r="H108" s="145"/>
      <c r="I108" s="145"/>
      <c r="J108" s="146">
        <f>SUM(J105:J107)</f>
        <v>0</v>
      </c>
    </row>
    <row r="109" spans="1:11" ht="19.5" customHeight="1">
      <c r="A109" s="135">
        <f>Invoerenploeg!$BR$13</f>
        <v>0</v>
      </c>
      <c r="B109" s="135">
        <f>Invoerenploeg!$BP$13</f>
        <v>0</v>
      </c>
      <c r="C109" s="135">
        <f>Invoerenploeg!$BQ$13</f>
        <v>0</v>
      </c>
      <c r="F109" s="135"/>
      <c r="G109" s="135"/>
      <c r="H109" s="147"/>
      <c r="I109" s="148" t="s">
        <v>85</v>
      </c>
      <c r="J109" s="149">
        <f>Invoerenploeg!$BA$13</f>
        <v>0</v>
      </c>
      <c r="K109" s="137" t="s">
        <v>86</v>
      </c>
    </row>
    <row r="110" spans="1:16" ht="19.5" customHeight="1">
      <c r="A110" s="135">
        <f>Invoerenploeg!$BU$13</f>
        <v>0</v>
      </c>
      <c r="B110" s="135">
        <f>Invoerenploeg!$BS$13</f>
        <v>0</v>
      </c>
      <c r="C110" s="135">
        <f>Invoerenploeg!$BT$13</f>
        <v>0</v>
      </c>
      <c r="F110" s="135"/>
      <c r="G110" s="135"/>
      <c r="H110" s="147"/>
      <c r="I110" s="148" t="s">
        <v>5</v>
      </c>
      <c r="J110" s="152">
        <f>Invoerenploeg!$BB$13</f>
        <v>0</v>
      </c>
      <c r="L110" s="142" t="s">
        <v>95</v>
      </c>
      <c r="M110" s="142">
        <f>Invoerenploeg!$C$2</f>
        <v>50</v>
      </c>
      <c r="N110" s="153" t="s">
        <v>81</v>
      </c>
      <c r="O110" s="154">
        <f>Invoerenploeg!$BD$13</f>
        <v>0</v>
      </c>
      <c r="P110" s="7">
        <f>Invoerenploeg!$K$13</f>
      </c>
    </row>
    <row r="111" spans="1:16" ht="19.5" customHeight="1">
      <c r="A111" s="135">
        <f>Invoerenploeg!$BX$13</f>
        <v>0</v>
      </c>
      <c r="B111" s="135">
        <f>Invoerenploeg!$BV$13</f>
        <v>0</v>
      </c>
      <c r="C111" s="135">
        <f>Invoerenploeg!$BW$13</f>
        <v>0</v>
      </c>
      <c r="F111" s="135"/>
      <c r="G111" s="135"/>
      <c r="H111" s="155">
        <f>Invoerenploeg!$F$13</f>
        <v>0</v>
      </c>
      <c r="J111" s="152"/>
      <c r="L111" s="156" t="s">
        <v>17</v>
      </c>
      <c r="N111" s="142"/>
      <c r="O111" s="143">
        <f>Invoerenploeg!$C$13</f>
        <v>0</v>
      </c>
      <c r="P111" s="157"/>
    </row>
    <row r="112" spans="1:10" ht="19.5" customHeight="1">
      <c r="A112" s="135">
        <f>Invoerenploeg!$CA$13</f>
        <v>0</v>
      </c>
      <c r="B112" s="135">
        <f>Invoerenploeg!$BY$13</f>
        <v>0</v>
      </c>
      <c r="C112" s="135">
        <f>Invoerenploeg!$BZ$13</f>
        <v>0</v>
      </c>
      <c r="F112" s="135"/>
      <c r="G112" s="135"/>
      <c r="H112" s="147"/>
      <c r="I112" s="156"/>
      <c r="J112" s="152"/>
    </row>
    <row r="113" spans="1:13" ht="19.5" customHeight="1">
      <c r="A113" s="135">
        <f>Invoerenploeg!$CD$13</f>
        <v>0</v>
      </c>
      <c r="B113" s="135">
        <f>Invoerenploeg!$CB$13</f>
        <v>0</v>
      </c>
      <c r="C113" s="135">
        <f>Invoerenploeg!$CC$13</f>
        <v>0</v>
      </c>
      <c r="D113" s="135" t="s">
        <v>19</v>
      </c>
      <c r="E113" s="96"/>
      <c r="F113" s="96"/>
      <c r="G113" s="135">
        <f>Invoerenploeg!$CK$13</f>
        <v>0</v>
      </c>
      <c r="H113" s="96"/>
      <c r="I113" s="96"/>
      <c r="J113" s="96"/>
      <c r="K113" s="96"/>
      <c r="L113" s="96"/>
      <c r="M113" s="96"/>
    </row>
    <row r="114" spans="1:13" ht="19.5" customHeight="1">
      <c r="A114" s="135">
        <f>Invoerenploeg!$CG$13</f>
        <v>0</v>
      </c>
      <c r="B114" s="135">
        <f>Invoerenploeg!$CE$13</f>
        <v>0</v>
      </c>
      <c r="C114" s="135">
        <f>Invoerenploeg!$CF$13</f>
        <v>0</v>
      </c>
      <c r="D114" s="135" t="s">
        <v>20</v>
      </c>
      <c r="E114" s="96"/>
      <c r="F114" s="96"/>
      <c r="G114" s="135">
        <f>Invoerenploeg!$CL$13</f>
        <v>0</v>
      </c>
      <c r="H114" s="96"/>
      <c r="I114" s="96"/>
      <c r="J114" s="96"/>
      <c r="K114" s="96"/>
      <c r="L114" s="96"/>
      <c r="M114" s="96"/>
    </row>
    <row r="115" spans="1:10" ht="19.5" customHeight="1">
      <c r="A115" s="135">
        <f>Invoerenploeg!$CJ$13</f>
        <v>0</v>
      </c>
      <c r="B115" s="135">
        <f>Invoerenploeg!$CH$13</f>
        <v>0</v>
      </c>
      <c r="C115" s="135">
        <f>Invoerenploeg!$CI$13</f>
        <v>0</v>
      </c>
      <c r="F115" s="135"/>
      <c r="G115" s="135"/>
      <c r="H115" s="147"/>
      <c r="I115" s="156"/>
      <c r="J115" s="152"/>
    </row>
    <row r="116" ht="3" customHeight="1"/>
    <row r="117" spans="1:16" ht="19.5" customHeight="1">
      <c r="A117" s="155">
        <f>Invoerenploeg!$B$14</f>
        <v>4</v>
      </c>
      <c r="B117" s="161">
        <f>Invoerenploeg!$D$14</f>
        <v>0</v>
      </c>
      <c r="C117" s="125">
        <f>Invoerenploeg!$E$14</f>
        <v>0</v>
      </c>
      <c r="D117" s="268">
        <v>0.3</v>
      </c>
      <c r="E117" s="162">
        <f>Invoerenploeg!$Q$14</f>
        <v>0</v>
      </c>
      <c r="F117" s="162">
        <f>Invoerenploeg!$R$14</f>
        <v>0</v>
      </c>
      <c r="G117" s="162">
        <f>Invoerenploeg!$S$14</f>
        <v>0</v>
      </c>
      <c r="H117" s="163">
        <f>Invoerenploeg!$T$14</f>
        <v>0</v>
      </c>
      <c r="I117" s="163">
        <f>Invoerenploeg!$U$14</f>
        <v>0</v>
      </c>
      <c r="J117" s="136">
        <f>Invoerenploeg!$W$14</f>
        <v>0</v>
      </c>
      <c r="K117" s="130" t="s">
        <v>79</v>
      </c>
      <c r="L117" s="164" t="s">
        <v>80</v>
      </c>
      <c r="M117" s="165">
        <f>Invoerenploeg!$C$1</f>
        <v>50</v>
      </c>
      <c r="N117" s="166" t="s">
        <v>81</v>
      </c>
      <c r="O117" s="167">
        <f>Invoerenploeg!$DH$14*Invoerenploeg!$C$1/100</f>
        <v>0</v>
      </c>
      <c r="P117" s="270">
        <f>Invoerenploeg!$DI$14</f>
      </c>
    </row>
    <row r="118" spans="1:16" ht="19.5" customHeight="1">
      <c r="A118" s="135">
        <f>Invoerenploeg!$BI$14</f>
        <v>0</v>
      </c>
      <c r="B118" s="135">
        <f>Invoerenploeg!$BG$14</f>
        <v>0</v>
      </c>
      <c r="C118" s="135">
        <f>Invoerenploeg!$BH$14</f>
        <v>0</v>
      </c>
      <c r="D118" s="126">
        <v>0.4</v>
      </c>
      <c r="E118" s="127">
        <f>Invoerenploeg!$AD$14</f>
        <v>0</v>
      </c>
      <c r="F118" s="127">
        <f>Invoerenploeg!$AE$14</f>
        <v>0</v>
      </c>
      <c r="G118" s="127">
        <f>Invoerenploeg!$AF$14</f>
        <v>0</v>
      </c>
      <c r="H118" s="128">
        <f>Invoerenploeg!$AG$14</f>
        <v>0</v>
      </c>
      <c r="I118" s="128">
        <f>Invoerenploeg!$AH$14</f>
        <v>0</v>
      </c>
      <c r="J118" s="136">
        <f>Invoerenploeg!$AJ$14</f>
        <v>0</v>
      </c>
      <c r="K118" s="137" t="s">
        <v>82</v>
      </c>
      <c r="L118" s="138" t="s">
        <v>83</v>
      </c>
      <c r="M118" s="139">
        <f>Invoerenploeg!$C$3</f>
        <v>0</v>
      </c>
      <c r="N118" s="140" t="s">
        <v>81</v>
      </c>
      <c r="O118" s="141">
        <f>Invoerenploeg!$H$14*Invoerenploeg!$C$3/100</f>
        <v>0</v>
      </c>
      <c r="P118" s="7">
        <f>Invoerenploeg!$I$14</f>
      </c>
    </row>
    <row r="119" spans="1:11" ht="19.5" customHeight="1">
      <c r="A119" s="135">
        <f>Invoerenploeg!$BL$14</f>
        <v>0</v>
      </c>
      <c r="B119" s="135">
        <f>Invoerenploeg!$BJ$14</f>
        <v>0</v>
      </c>
      <c r="C119" s="135">
        <f>Invoerenploeg!$BK$14</f>
        <v>0</v>
      </c>
      <c r="D119" s="126">
        <v>0.3</v>
      </c>
      <c r="E119" s="127">
        <f>Invoerenploeg!$AQ$14</f>
        <v>0</v>
      </c>
      <c r="F119" s="127">
        <f>Invoerenploeg!$AR$14</f>
        <v>0</v>
      </c>
      <c r="G119" s="127">
        <f>Invoerenploeg!$AS$14</f>
        <v>0</v>
      </c>
      <c r="H119" s="128">
        <f>Invoerenploeg!$AT$14</f>
        <v>0</v>
      </c>
      <c r="I119" s="128">
        <f>Invoerenploeg!$AU$14</f>
        <v>0</v>
      </c>
      <c r="J119" s="136">
        <f>Invoerenploeg!$AW$14</f>
        <v>0</v>
      </c>
      <c r="K119" s="137" t="s">
        <v>84</v>
      </c>
    </row>
    <row r="120" spans="1:10" ht="19.5" customHeight="1">
      <c r="A120" s="135">
        <f>Invoerenploeg!$BO$14</f>
        <v>0</v>
      </c>
      <c r="B120" s="135">
        <f>Invoerenploeg!$BM$14</f>
        <v>0</v>
      </c>
      <c r="C120" s="135">
        <f>Invoerenploeg!$BN$14</f>
        <v>0</v>
      </c>
      <c r="F120" s="144"/>
      <c r="G120" s="144"/>
      <c r="H120" s="145"/>
      <c r="I120" s="145"/>
      <c r="J120" s="146">
        <f>SUM(J117:J119)</f>
        <v>0</v>
      </c>
    </row>
    <row r="121" spans="1:11" ht="19.5" customHeight="1">
      <c r="A121" s="135">
        <f>Invoerenploeg!$BR$14</f>
        <v>0</v>
      </c>
      <c r="B121" s="135">
        <f>Invoerenploeg!$BP$14</f>
        <v>0</v>
      </c>
      <c r="C121" s="135">
        <f>Invoerenploeg!$BQ$14</f>
        <v>0</v>
      </c>
      <c r="F121" s="135"/>
      <c r="G121" s="135"/>
      <c r="H121" s="147"/>
      <c r="I121" s="148" t="s">
        <v>85</v>
      </c>
      <c r="J121" s="149">
        <f>Invoerenploeg!$BA$14</f>
        <v>0</v>
      </c>
      <c r="K121" s="137" t="s">
        <v>86</v>
      </c>
    </row>
    <row r="122" spans="1:16" ht="19.5" customHeight="1">
      <c r="A122" s="135">
        <f>Invoerenploeg!$BU$14</f>
        <v>0</v>
      </c>
      <c r="B122" s="135">
        <f>Invoerenploeg!$BS$14</f>
        <v>0</v>
      </c>
      <c r="C122" s="135">
        <f>Invoerenploeg!$BT$14</f>
        <v>0</v>
      </c>
      <c r="F122" s="135"/>
      <c r="G122" s="135"/>
      <c r="H122" s="147"/>
      <c r="I122" s="148" t="s">
        <v>5</v>
      </c>
      <c r="J122" s="152">
        <f>Invoerenploeg!$BB$14</f>
        <v>0</v>
      </c>
      <c r="L122" s="142" t="s">
        <v>95</v>
      </c>
      <c r="M122" s="142">
        <f>Invoerenploeg!$C$2</f>
        <v>50</v>
      </c>
      <c r="N122" s="153" t="s">
        <v>81</v>
      </c>
      <c r="O122" s="154">
        <f>Invoerenploeg!$BD$14</f>
        <v>0</v>
      </c>
      <c r="P122" s="7">
        <f>Invoerenploeg!$K$14</f>
      </c>
    </row>
    <row r="123" spans="1:16" ht="19.5" customHeight="1">
      <c r="A123" s="135">
        <f>Invoerenploeg!$BX$14</f>
        <v>0</v>
      </c>
      <c r="B123" s="135">
        <f>Invoerenploeg!$BV$14</f>
        <v>0</v>
      </c>
      <c r="C123" s="135">
        <f>Invoerenploeg!$BW$14</f>
        <v>0</v>
      </c>
      <c r="F123" s="135"/>
      <c r="G123" s="135"/>
      <c r="H123" s="155">
        <f>Invoerenploeg!$F$14</f>
        <v>0</v>
      </c>
      <c r="J123" s="152"/>
      <c r="L123" s="156" t="s">
        <v>17</v>
      </c>
      <c r="N123" s="142"/>
      <c r="O123" s="143">
        <f>Invoerenploeg!$C$14</f>
        <v>0</v>
      </c>
      <c r="P123" s="157"/>
    </row>
    <row r="124" spans="1:10" ht="19.5" customHeight="1">
      <c r="A124" s="135">
        <f>Invoerenploeg!$CA$14</f>
        <v>0</v>
      </c>
      <c r="B124" s="135">
        <f>Invoerenploeg!$BY$14</f>
        <v>0</v>
      </c>
      <c r="C124" s="135">
        <f>Invoerenploeg!$BZ$14</f>
        <v>0</v>
      </c>
      <c r="F124" s="135"/>
      <c r="G124" s="135"/>
      <c r="H124" s="147"/>
      <c r="I124" s="156"/>
      <c r="J124" s="152"/>
    </row>
    <row r="125" spans="1:13" ht="19.5" customHeight="1">
      <c r="A125" s="135">
        <f>Invoerenploeg!$CD$14</f>
        <v>0</v>
      </c>
      <c r="B125" s="135">
        <f>Invoerenploeg!$CB$14</f>
        <v>0</v>
      </c>
      <c r="C125" s="135">
        <f>Invoerenploeg!$CC$14</f>
        <v>0</v>
      </c>
      <c r="D125" s="135" t="s">
        <v>19</v>
      </c>
      <c r="E125" s="96"/>
      <c r="F125" s="96"/>
      <c r="G125" s="135">
        <f>Invoerenploeg!$CK$14</f>
        <v>0</v>
      </c>
      <c r="H125" s="96"/>
      <c r="I125" s="96"/>
      <c r="J125" s="96"/>
      <c r="K125" s="96"/>
      <c r="L125" s="96"/>
      <c r="M125" s="96"/>
    </row>
    <row r="126" spans="1:13" ht="19.5" customHeight="1">
      <c r="A126" s="135">
        <f>Invoerenploeg!$CG$14</f>
        <v>0</v>
      </c>
      <c r="B126" s="135">
        <f>Invoerenploeg!$CE$14</f>
        <v>0</v>
      </c>
      <c r="C126" s="135">
        <f>Invoerenploeg!$CF$14</f>
        <v>0</v>
      </c>
      <c r="D126" s="135" t="s">
        <v>20</v>
      </c>
      <c r="E126" s="96"/>
      <c r="F126" s="96"/>
      <c r="G126" s="135">
        <f>Invoerenploeg!$CL$14</f>
        <v>0</v>
      </c>
      <c r="H126" s="96"/>
      <c r="I126" s="96"/>
      <c r="J126" s="96"/>
      <c r="K126" s="96"/>
      <c r="L126" s="96"/>
      <c r="M126" s="96"/>
    </row>
    <row r="127" spans="1:10" ht="19.5" customHeight="1">
      <c r="A127" s="135">
        <f>Invoerenploeg!$CJ$14</f>
        <v>0</v>
      </c>
      <c r="B127" s="135">
        <f>Invoerenploeg!$CH$14</f>
        <v>0</v>
      </c>
      <c r="C127" s="135">
        <f>Invoerenploeg!$CI$14</f>
        <v>0</v>
      </c>
      <c r="F127" s="135"/>
      <c r="G127" s="135"/>
      <c r="H127" s="147"/>
      <c r="I127" s="156"/>
      <c r="J127" s="152"/>
    </row>
    <row r="128" ht="3" customHeight="1"/>
    <row r="129" spans="1:16" ht="19.5" customHeight="1">
      <c r="A129" s="155">
        <f>Invoerenploeg!$B$15</f>
        <v>4</v>
      </c>
      <c r="B129" s="161">
        <f>Invoerenploeg!$D$15</f>
        <v>0</v>
      </c>
      <c r="C129" s="125">
        <f>Invoerenploeg!$E$15</f>
        <v>0</v>
      </c>
      <c r="D129" s="268">
        <v>0.3</v>
      </c>
      <c r="E129" s="162">
        <f>Invoerenploeg!$Q$15</f>
        <v>0</v>
      </c>
      <c r="F129" s="162">
        <f>Invoerenploeg!$R$15</f>
        <v>0</v>
      </c>
      <c r="G129" s="162">
        <f>Invoerenploeg!$S$15</f>
        <v>0</v>
      </c>
      <c r="H129" s="163">
        <f>Invoerenploeg!$T$15</f>
        <v>0</v>
      </c>
      <c r="I129" s="163">
        <f>Invoerenploeg!$U$15</f>
        <v>0</v>
      </c>
      <c r="J129" s="136">
        <f>Invoerenploeg!$W$15</f>
        <v>0</v>
      </c>
      <c r="K129" s="130" t="s">
        <v>79</v>
      </c>
      <c r="L129" s="164" t="s">
        <v>80</v>
      </c>
      <c r="M129" s="165">
        <f>Invoerenploeg!$C$1</f>
        <v>50</v>
      </c>
      <c r="N129" s="166" t="s">
        <v>81</v>
      </c>
      <c r="O129" s="167">
        <f>Invoerenploeg!$DH$15*Invoerenploeg!$C$1/100</f>
        <v>0</v>
      </c>
      <c r="P129" s="270">
        <f>Invoerenploeg!$DI$15</f>
      </c>
    </row>
    <row r="130" spans="1:16" ht="19.5" customHeight="1">
      <c r="A130" s="135">
        <f>Invoerenploeg!$BI$15</f>
        <v>0</v>
      </c>
      <c r="B130" s="135">
        <f>Invoerenploeg!$BG$15</f>
        <v>0</v>
      </c>
      <c r="C130" s="135">
        <f>Invoerenploeg!$BH$15</f>
        <v>0</v>
      </c>
      <c r="D130" s="126">
        <v>0.4</v>
      </c>
      <c r="E130" s="127">
        <f>Invoerenploeg!$AD$15</f>
        <v>0</v>
      </c>
      <c r="F130" s="127">
        <f>Invoerenploeg!$AE$15</f>
        <v>0</v>
      </c>
      <c r="G130" s="127">
        <f>Invoerenploeg!$AF$15</f>
        <v>0</v>
      </c>
      <c r="H130" s="128">
        <f>Invoerenploeg!$AG$15</f>
        <v>0</v>
      </c>
      <c r="I130" s="128">
        <f>Invoerenploeg!$AH$15</f>
        <v>0</v>
      </c>
      <c r="J130" s="136">
        <f>Invoerenploeg!$AJ$15</f>
        <v>0</v>
      </c>
      <c r="K130" s="137" t="s">
        <v>82</v>
      </c>
      <c r="L130" s="138" t="s">
        <v>83</v>
      </c>
      <c r="M130" s="139">
        <f>Invoerenploeg!$C$3</f>
        <v>0</v>
      </c>
      <c r="N130" s="140" t="s">
        <v>81</v>
      </c>
      <c r="O130" s="141">
        <f>Invoerenploeg!$H$15*Invoerenploeg!$C$3/100</f>
        <v>0</v>
      </c>
      <c r="P130" s="7">
        <f>Invoerenploeg!$I$15</f>
      </c>
    </row>
    <row r="131" spans="1:11" ht="19.5" customHeight="1">
      <c r="A131" s="135">
        <f>Invoerenploeg!$BL$15</f>
        <v>0</v>
      </c>
      <c r="B131" s="135">
        <f>Invoerenploeg!$BJ$15</f>
        <v>0</v>
      </c>
      <c r="C131" s="135">
        <f>Invoerenploeg!$BK$15</f>
        <v>0</v>
      </c>
      <c r="D131" s="126">
        <v>0.3</v>
      </c>
      <c r="E131" s="127">
        <f>Invoerenploeg!$AQ$15</f>
        <v>0</v>
      </c>
      <c r="F131" s="127">
        <f>Invoerenploeg!$AR$15</f>
        <v>0</v>
      </c>
      <c r="G131" s="127">
        <f>Invoerenploeg!$AS$15</f>
        <v>0</v>
      </c>
      <c r="H131" s="128">
        <f>Invoerenploeg!$AT$15</f>
        <v>0</v>
      </c>
      <c r="I131" s="128">
        <f>Invoerenploeg!$AU$15</f>
        <v>0</v>
      </c>
      <c r="J131" s="136">
        <f>Invoerenploeg!$AW$15</f>
        <v>0</v>
      </c>
      <c r="K131" s="137" t="s">
        <v>84</v>
      </c>
    </row>
    <row r="132" spans="1:10" ht="19.5" customHeight="1">
      <c r="A132" s="135">
        <f>Invoerenploeg!$BO$15</f>
        <v>0</v>
      </c>
      <c r="B132" s="135">
        <f>Invoerenploeg!$BM$15</f>
        <v>0</v>
      </c>
      <c r="C132" s="135">
        <f>Invoerenploeg!$BN$15</f>
        <v>0</v>
      </c>
      <c r="F132" s="144"/>
      <c r="G132" s="144"/>
      <c r="H132" s="145"/>
      <c r="I132" s="145"/>
      <c r="J132" s="146">
        <f>SUM(J129:J131)</f>
        <v>0</v>
      </c>
    </row>
    <row r="133" spans="1:11" ht="19.5" customHeight="1">
      <c r="A133" s="135">
        <f>Invoerenploeg!$BR$15</f>
        <v>0</v>
      </c>
      <c r="B133" s="135">
        <f>Invoerenploeg!$BP$15</f>
        <v>0</v>
      </c>
      <c r="C133" s="135">
        <f>Invoerenploeg!$BQ$15</f>
        <v>0</v>
      </c>
      <c r="F133" s="135"/>
      <c r="G133" s="135"/>
      <c r="H133" s="147"/>
      <c r="I133" s="148" t="s">
        <v>85</v>
      </c>
      <c r="J133" s="149">
        <f>Invoerenploeg!$BA$15</f>
        <v>0</v>
      </c>
      <c r="K133" s="137" t="s">
        <v>86</v>
      </c>
    </row>
    <row r="134" spans="1:16" ht="19.5" customHeight="1">
      <c r="A134" s="135">
        <f>Invoerenploeg!$BU$15</f>
        <v>0</v>
      </c>
      <c r="B134" s="135">
        <f>Invoerenploeg!$BS$15</f>
        <v>0</v>
      </c>
      <c r="C134" s="135">
        <f>Invoerenploeg!$BT$15</f>
        <v>0</v>
      </c>
      <c r="F134" s="135"/>
      <c r="G134" s="135"/>
      <c r="H134" s="147"/>
      <c r="I134" s="148" t="s">
        <v>5</v>
      </c>
      <c r="J134" s="152">
        <f>Invoerenploeg!$BB$15</f>
        <v>0</v>
      </c>
      <c r="L134" s="142" t="s">
        <v>95</v>
      </c>
      <c r="M134" s="142">
        <f>Invoerenploeg!$C$2</f>
        <v>50</v>
      </c>
      <c r="N134" s="153" t="s">
        <v>81</v>
      </c>
      <c r="O134" s="154">
        <f>Invoerenploeg!$BD$15</f>
        <v>0</v>
      </c>
      <c r="P134" s="7">
        <f>Invoerenploeg!$K$15</f>
      </c>
    </row>
    <row r="135" spans="1:16" ht="19.5" customHeight="1">
      <c r="A135" s="135">
        <f>Invoerenploeg!$BX$15</f>
        <v>0</v>
      </c>
      <c r="B135" s="135">
        <f>Invoerenploeg!$BV$15</f>
        <v>0</v>
      </c>
      <c r="C135" s="135">
        <f>Invoerenploeg!$BW$15</f>
        <v>0</v>
      </c>
      <c r="F135" s="135"/>
      <c r="G135" s="135"/>
      <c r="H135" s="155">
        <f>Invoerenploeg!$F$15</f>
        <v>0</v>
      </c>
      <c r="J135" s="152"/>
      <c r="L135" s="156" t="s">
        <v>17</v>
      </c>
      <c r="N135" s="142"/>
      <c r="O135" s="143">
        <f>Invoerenploeg!$C$15</f>
        <v>0</v>
      </c>
      <c r="P135" s="157"/>
    </row>
    <row r="136" spans="1:10" ht="19.5" customHeight="1">
      <c r="A136" s="135">
        <f>Invoerenploeg!$CA$15</f>
        <v>0</v>
      </c>
      <c r="B136" s="135">
        <f>Invoerenploeg!$BY$15</f>
        <v>0</v>
      </c>
      <c r="C136" s="135">
        <f>Invoerenploeg!$BZ$15</f>
        <v>0</v>
      </c>
      <c r="F136" s="135"/>
      <c r="G136" s="135"/>
      <c r="H136" s="147"/>
      <c r="I136" s="156"/>
      <c r="J136" s="152"/>
    </row>
    <row r="137" spans="1:13" ht="19.5" customHeight="1">
      <c r="A137" s="135">
        <f>Invoerenploeg!$CD$15</f>
        <v>0</v>
      </c>
      <c r="B137" s="135">
        <f>Invoerenploeg!$CB$15</f>
        <v>0</v>
      </c>
      <c r="C137" s="135">
        <f>Invoerenploeg!$CC$15</f>
        <v>0</v>
      </c>
      <c r="D137" s="135" t="s">
        <v>19</v>
      </c>
      <c r="E137" s="96"/>
      <c r="F137" s="96"/>
      <c r="G137" s="135">
        <f>Invoerenploeg!$CK$15</f>
        <v>0</v>
      </c>
      <c r="H137" s="96"/>
      <c r="I137" s="96"/>
      <c r="J137" s="96"/>
      <c r="K137" s="96"/>
      <c r="L137" s="96"/>
      <c r="M137" s="96"/>
    </row>
    <row r="138" spans="1:13" ht="19.5" customHeight="1">
      <c r="A138" s="135">
        <f>Invoerenploeg!$CG$15</f>
        <v>0</v>
      </c>
      <c r="B138" s="135">
        <f>Invoerenploeg!$CE$15</f>
        <v>0</v>
      </c>
      <c r="C138" s="135">
        <f>Invoerenploeg!$CF$15</f>
        <v>0</v>
      </c>
      <c r="D138" s="135" t="s">
        <v>20</v>
      </c>
      <c r="E138" s="96"/>
      <c r="F138" s="96"/>
      <c r="G138" s="135">
        <f>Invoerenploeg!$CL$15</f>
        <v>0</v>
      </c>
      <c r="H138" s="96"/>
      <c r="I138" s="96"/>
      <c r="J138" s="96"/>
      <c r="K138" s="96"/>
      <c r="L138" s="96"/>
      <c r="M138" s="96"/>
    </row>
    <row r="139" spans="1:10" ht="19.5" customHeight="1">
      <c r="A139" s="135">
        <f>Invoerenploeg!$CJ$15</f>
        <v>0</v>
      </c>
      <c r="B139" s="135">
        <f>Invoerenploeg!$CH$15</f>
        <v>0</v>
      </c>
      <c r="C139" s="135">
        <f>Invoerenploeg!$CI$15</f>
        <v>0</v>
      </c>
      <c r="F139" s="135"/>
      <c r="G139" s="135"/>
      <c r="H139" s="147"/>
      <c r="I139" s="156"/>
      <c r="J139" s="152"/>
    </row>
    <row r="140" ht="3" customHeight="1"/>
    <row r="141" spans="1:16" ht="19.5" customHeight="1">
      <c r="A141" s="155">
        <f>Invoerenploeg!$B$16</f>
        <v>4</v>
      </c>
      <c r="B141" s="161">
        <f>Invoerenploeg!$D$16</f>
        <v>0</v>
      </c>
      <c r="C141" s="125">
        <f>Invoerenploeg!$E$16</f>
        <v>0</v>
      </c>
      <c r="D141" s="268">
        <v>0.3</v>
      </c>
      <c r="E141" s="162">
        <f>Invoerenploeg!$Q$16</f>
        <v>0</v>
      </c>
      <c r="F141" s="162">
        <f>Invoerenploeg!$R$16</f>
        <v>0</v>
      </c>
      <c r="G141" s="162">
        <f>Invoerenploeg!$S$16</f>
        <v>0</v>
      </c>
      <c r="H141" s="163">
        <f>Invoerenploeg!$T$16</f>
        <v>0</v>
      </c>
      <c r="I141" s="163">
        <f>Invoerenploeg!$U$16</f>
        <v>0</v>
      </c>
      <c r="J141" s="136">
        <f>Invoerenploeg!$W$16</f>
        <v>0</v>
      </c>
      <c r="K141" s="130" t="s">
        <v>79</v>
      </c>
      <c r="L141" s="164" t="s">
        <v>80</v>
      </c>
      <c r="M141" s="165">
        <f>Invoerenploeg!$C$1</f>
        <v>50</v>
      </c>
      <c r="N141" s="166" t="s">
        <v>81</v>
      </c>
      <c r="O141" s="167">
        <f>Invoerenploeg!$DH$16*Invoerenploeg!$C$1/100</f>
        <v>0</v>
      </c>
      <c r="P141" s="270">
        <f>Invoerenploeg!$DI$16</f>
      </c>
    </row>
    <row r="142" spans="1:16" ht="19.5" customHeight="1">
      <c r="A142" s="135">
        <f>Invoerenploeg!$BI$16</f>
        <v>0</v>
      </c>
      <c r="B142" s="135">
        <f>Invoerenploeg!$BG$16</f>
        <v>0</v>
      </c>
      <c r="C142" s="135">
        <f>Invoerenploeg!$BH$16</f>
        <v>0</v>
      </c>
      <c r="D142" s="126">
        <v>0.4</v>
      </c>
      <c r="E142" s="127">
        <f>Invoerenploeg!$AD$16</f>
        <v>0</v>
      </c>
      <c r="F142" s="127">
        <f>Invoerenploeg!$AE$16</f>
        <v>0</v>
      </c>
      <c r="G142" s="127">
        <f>Invoerenploeg!$AF$16</f>
        <v>0</v>
      </c>
      <c r="H142" s="128">
        <f>Invoerenploeg!$AG$16</f>
        <v>0</v>
      </c>
      <c r="I142" s="128">
        <f>Invoerenploeg!$AH$16</f>
        <v>0</v>
      </c>
      <c r="J142" s="136">
        <f>Invoerenploeg!$AJ$16</f>
        <v>0</v>
      </c>
      <c r="K142" s="137" t="s">
        <v>82</v>
      </c>
      <c r="L142" s="138" t="s">
        <v>83</v>
      </c>
      <c r="M142" s="139">
        <f>Invoerenploeg!$C$3</f>
        <v>0</v>
      </c>
      <c r="N142" s="140" t="s">
        <v>81</v>
      </c>
      <c r="O142" s="141">
        <f>Invoerenploeg!$H$16*Invoerenploeg!$C$3/100</f>
        <v>0</v>
      </c>
      <c r="P142" s="7">
        <f>Invoerenploeg!$I$16</f>
      </c>
    </row>
    <row r="143" spans="1:11" ht="19.5" customHeight="1">
      <c r="A143" s="135">
        <f>Invoerenploeg!$BL$16</f>
        <v>0</v>
      </c>
      <c r="B143" s="135">
        <f>Invoerenploeg!$BJ$16</f>
        <v>0</v>
      </c>
      <c r="C143" s="135">
        <f>Invoerenploeg!$BK$16</f>
        <v>0</v>
      </c>
      <c r="D143" s="126">
        <v>0.3</v>
      </c>
      <c r="E143" s="127">
        <f>Invoerenploeg!$AQ$16</f>
        <v>0</v>
      </c>
      <c r="F143" s="127">
        <f>Invoerenploeg!$AR$16</f>
        <v>0</v>
      </c>
      <c r="G143" s="127">
        <f>Invoerenploeg!$AS$16</f>
        <v>0</v>
      </c>
      <c r="H143" s="128">
        <f>Invoerenploeg!$AT$16</f>
        <v>0</v>
      </c>
      <c r="I143" s="128">
        <f>Invoerenploeg!$AU$16</f>
        <v>0</v>
      </c>
      <c r="J143" s="136">
        <f>Invoerenploeg!$AW$16</f>
        <v>0</v>
      </c>
      <c r="K143" s="137" t="s">
        <v>84</v>
      </c>
    </row>
    <row r="144" spans="1:10" ht="19.5" customHeight="1">
      <c r="A144" s="135">
        <f>Invoerenploeg!$BO$16</f>
        <v>0</v>
      </c>
      <c r="B144" s="135">
        <f>Invoerenploeg!$BM$16</f>
        <v>0</v>
      </c>
      <c r="C144" s="135">
        <f>Invoerenploeg!$BN$16</f>
        <v>0</v>
      </c>
      <c r="F144" s="144"/>
      <c r="G144" s="144"/>
      <c r="H144" s="145"/>
      <c r="I144" s="145"/>
      <c r="J144" s="146">
        <f>SUM(J141:J143)</f>
        <v>0</v>
      </c>
    </row>
    <row r="145" spans="1:11" ht="19.5" customHeight="1">
      <c r="A145" s="135">
        <f>Invoerenploeg!$BR$16</f>
        <v>0</v>
      </c>
      <c r="B145" s="135">
        <f>Invoerenploeg!$BP$16</f>
        <v>0</v>
      </c>
      <c r="C145" s="135">
        <f>Invoerenploeg!$BQ$16</f>
        <v>0</v>
      </c>
      <c r="F145" s="135"/>
      <c r="G145" s="135"/>
      <c r="H145" s="147"/>
      <c r="I145" s="148" t="s">
        <v>85</v>
      </c>
      <c r="J145" s="149">
        <f>Invoerenploeg!$BA$16</f>
        <v>0</v>
      </c>
      <c r="K145" s="137" t="s">
        <v>86</v>
      </c>
    </row>
    <row r="146" spans="1:16" ht="19.5" customHeight="1">
      <c r="A146" s="135">
        <f>Invoerenploeg!$BU$16</f>
        <v>0</v>
      </c>
      <c r="B146" s="135">
        <f>Invoerenploeg!$BS$16</f>
        <v>0</v>
      </c>
      <c r="C146" s="135">
        <f>Invoerenploeg!$BT$16</f>
        <v>0</v>
      </c>
      <c r="F146" s="135"/>
      <c r="G146" s="135"/>
      <c r="H146" s="147"/>
      <c r="I146" s="148" t="s">
        <v>5</v>
      </c>
      <c r="J146" s="152">
        <f>Invoerenploeg!$BB$16</f>
        <v>0</v>
      </c>
      <c r="L146" s="142" t="s">
        <v>95</v>
      </c>
      <c r="M146" s="142">
        <f>Invoerenploeg!$C$2</f>
        <v>50</v>
      </c>
      <c r="N146" s="153" t="s">
        <v>81</v>
      </c>
      <c r="O146" s="154">
        <f>Invoerenploeg!$BD$16</f>
        <v>0</v>
      </c>
      <c r="P146" s="7">
        <f>Invoerenploeg!$K$16</f>
      </c>
    </row>
    <row r="147" spans="1:16" ht="19.5" customHeight="1">
      <c r="A147" s="135">
        <f>Invoerenploeg!$BX$16</f>
        <v>0</v>
      </c>
      <c r="B147" s="135">
        <f>Invoerenploeg!$BV$16</f>
        <v>0</v>
      </c>
      <c r="C147" s="135">
        <f>Invoerenploeg!$BW$16</f>
        <v>0</v>
      </c>
      <c r="F147" s="135"/>
      <c r="G147" s="135"/>
      <c r="H147" s="155">
        <f>Invoerenploeg!$F$16</f>
        <v>0</v>
      </c>
      <c r="J147" s="152"/>
      <c r="L147" s="156" t="s">
        <v>17</v>
      </c>
      <c r="N147" s="142"/>
      <c r="O147" s="143">
        <f>Invoerenploeg!$C$16</f>
        <v>0</v>
      </c>
      <c r="P147" s="157"/>
    </row>
    <row r="148" spans="1:10" ht="19.5" customHeight="1">
      <c r="A148" s="135">
        <f>Invoerenploeg!$CA$16</f>
        <v>0</v>
      </c>
      <c r="B148" s="135">
        <f>Invoerenploeg!$BY$16</f>
        <v>0</v>
      </c>
      <c r="C148" s="135">
        <f>Invoerenploeg!$BZ$16</f>
        <v>0</v>
      </c>
      <c r="F148" s="135"/>
      <c r="G148" s="135"/>
      <c r="H148" s="147"/>
      <c r="I148" s="156"/>
      <c r="J148" s="152"/>
    </row>
    <row r="149" spans="1:13" ht="19.5" customHeight="1">
      <c r="A149" s="135">
        <f>Invoerenploeg!$CD$16</f>
        <v>0</v>
      </c>
      <c r="B149" s="135">
        <f>Invoerenploeg!$CB$16</f>
        <v>0</v>
      </c>
      <c r="C149" s="135">
        <f>Invoerenploeg!$CC$16</f>
        <v>0</v>
      </c>
      <c r="D149" s="135" t="s">
        <v>19</v>
      </c>
      <c r="E149" s="96"/>
      <c r="F149" s="96"/>
      <c r="G149" s="135">
        <f>Invoerenploeg!$CK$16</f>
        <v>0</v>
      </c>
      <c r="H149" s="96"/>
      <c r="I149" s="96"/>
      <c r="J149" s="96"/>
      <c r="K149" s="96"/>
      <c r="L149" s="96"/>
      <c r="M149" s="96"/>
    </row>
    <row r="150" spans="1:13" ht="19.5" customHeight="1">
      <c r="A150" s="135">
        <f>Invoerenploeg!$CG$16</f>
        <v>0</v>
      </c>
      <c r="B150" s="135">
        <f>Invoerenploeg!$CE$16</f>
        <v>0</v>
      </c>
      <c r="C150" s="135">
        <f>Invoerenploeg!$CF$16</f>
        <v>0</v>
      </c>
      <c r="D150" s="135" t="s">
        <v>20</v>
      </c>
      <c r="E150" s="96"/>
      <c r="F150" s="96"/>
      <c r="G150" s="135">
        <f>Invoerenploeg!$CL$16</f>
        <v>0</v>
      </c>
      <c r="H150" s="96"/>
      <c r="I150" s="96"/>
      <c r="J150" s="96"/>
      <c r="K150" s="96"/>
      <c r="L150" s="96"/>
      <c r="M150" s="96"/>
    </row>
    <row r="151" spans="1:10" ht="19.5" customHeight="1">
      <c r="A151" s="135">
        <f>Invoerenploeg!$CJ$16</f>
        <v>0</v>
      </c>
      <c r="B151" s="135">
        <f>Invoerenploeg!$CH$16</f>
        <v>0</v>
      </c>
      <c r="C151" s="135">
        <f>Invoerenploeg!$CI$16</f>
        <v>0</v>
      </c>
      <c r="F151" s="135"/>
      <c r="G151" s="135"/>
      <c r="H151" s="147"/>
      <c r="I151" s="156"/>
      <c r="J151" s="152"/>
    </row>
    <row r="152" ht="3" customHeight="1"/>
    <row r="153" spans="1:16" ht="19.5" customHeight="1">
      <c r="A153" s="155">
        <f>Invoerenploeg!$B$17</f>
        <v>4</v>
      </c>
      <c r="B153" s="161">
        <f>Invoerenploeg!$D$17</f>
        <v>0</v>
      </c>
      <c r="C153" s="125">
        <f>Invoerenploeg!$E$17</f>
        <v>0</v>
      </c>
      <c r="D153" s="268">
        <v>0.3</v>
      </c>
      <c r="E153" s="162">
        <f>Invoerenploeg!$Q$17</f>
        <v>0</v>
      </c>
      <c r="F153" s="162">
        <f>Invoerenploeg!$R$17</f>
        <v>0</v>
      </c>
      <c r="G153" s="162">
        <f>Invoerenploeg!$S$17</f>
        <v>0</v>
      </c>
      <c r="H153" s="163">
        <f>Invoerenploeg!$T$17</f>
        <v>0</v>
      </c>
      <c r="I153" s="163">
        <f>Invoerenploeg!$U$17</f>
        <v>0</v>
      </c>
      <c r="J153" s="136">
        <f>Invoerenploeg!$W$17</f>
        <v>0</v>
      </c>
      <c r="K153" s="130" t="s">
        <v>79</v>
      </c>
      <c r="L153" s="164" t="s">
        <v>80</v>
      </c>
      <c r="M153" s="165">
        <f>Invoerenploeg!$C$1</f>
        <v>50</v>
      </c>
      <c r="N153" s="166" t="s">
        <v>81</v>
      </c>
      <c r="O153" s="167">
        <f>Invoerenploeg!$DH$17*Invoerenploeg!$C$1/100</f>
        <v>0</v>
      </c>
      <c r="P153" s="270">
        <f>Invoerenploeg!$DI$17</f>
      </c>
    </row>
    <row r="154" spans="1:16" ht="19.5" customHeight="1">
      <c r="A154" s="135">
        <f>Invoerenploeg!$BI$17</f>
        <v>0</v>
      </c>
      <c r="B154" s="135">
        <f>Invoerenploeg!$BG$17</f>
        <v>0</v>
      </c>
      <c r="C154" s="135">
        <f>Invoerenploeg!$BH$17</f>
        <v>0</v>
      </c>
      <c r="D154" s="126">
        <v>0.4</v>
      </c>
      <c r="E154" s="127">
        <f>Invoerenploeg!$AD$17</f>
        <v>0</v>
      </c>
      <c r="F154" s="127">
        <f>Invoerenploeg!$AE$17</f>
        <v>0</v>
      </c>
      <c r="G154" s="127">
        <f>Invoerenploeg!$AF$17</f>
        <v>0</v>
      </c>
      <c r="H154" s="128">
        <f>Invoerenploeg!$AG$17</f>
        <v>0</v>
      </c>
      <c r="I154" s="128">
        <f>Invoerenploeg!$AH$17</f>
        <v>0</v>
      </c>
      <c r="J154" s="136">
        <f>Invoerenploeg!$AJ$17</f>
        <v>0</v>
      </c>
      <c r="K154" s="137" t="s">
        <v>82</v>
      </c>
      <c r="L154" s="138" t="s">
        <v>83</v>
      </c>
      <c r="M154" s="139">
        <f>Invoerenploeg!$C$3</f>
        <v>0</v>
      </c>
      <c r="N154" s="140" t="s">
        <v>81</v>
      </c>
      <c r="O154" s="141">
        <f>Invoerenploeg!$H$17*Invoerenploeg!$C$3/100</f>
        <v>0</v>
      </c>
      <c r="P154" s="7">
        <f>Invoerenploeg!$I$17</f>
      </c>
    </row>
    <row r="155" spans="1:11" ht="19.5" customHeight="1">
      <c r="A155" s="135">
        <f>Invoerenploeg!$BL$17</f>
        <v>0</v>
      </c>
      <c r="B155" s="135">
        <f>Invoerenploeg!$BJ$17</f>
        <v>0</v>
      </c>
      <c r="C155" s="135">
        <f>Invoerenploeg!$BK$17</f>
        <v>0</v>
      </c>
      <c r="D155" s="126">
        <v>0.3</v>
      </c>
      <c r="E155" s="127">
        <f>Invoerenploeg!$AQ$17</f>
        <v>0</v>
      </c>
      <c r="F155" s="127">
        <f>Invoerenploeg!$AR$17</f>
        <v>0</v>
      </c>
      <c r="G155" s="127">
        <f>Invoerenploeg!$AS$17</f>
        <v>0</v>
      </c>
      <c r="H155" s="128">
        <f>Invoerenploeg!$AT$17</f>
        <v>0</v>
      </c>
      <c r="I155" s="128">
        <f>Invoerenploeg!$AU$17</f>
        <v>0</v>
      </c>
      <c r="J155" s="136">
        <f>Invoerenploeg!$AW$17</f>
        <v>0</v>
      </c>
      <c r="K155" s="137" t="s">
        <v>84</v>
      </c>
    </row>
    <row r="156" spans="1:10" ht="19.5" customHeight="1">
      <c r="A156" s="135">
        <f>Invoerenploeg!$BO$17</f>
        <v>0</v>
      </c>
      <c r="B156" s="135">
        <f>Invoerenploeg!$BM$17</f>
        <v>0</v>
      </c>
      <c r="C156" s="135">
        <f>Invoerenploeg!$BN$17</f>
        <v>0</v>
      </c>
      <c r="F156" s="144"/>
      <c r="G156" s="144"/>
      <c r="H156" s="145"/>
      <c r="I156" s="145"/>
      <c r="J156" s="146">
        <f>SUM(J153:J155)</f>
        <v>0</v>
      </c>
    </row>
    <row r="157" spans="1:11" ht="19.5" customHeight="1">
      <c r="A157" s="135">
        <f>Invoerenploeg!$BR$17</f>
        <v>0</v>
      </c>
      <c r="B157" s="135">
        <f>Invoerenploeg!$BP$17</f>
        <v>0</v>
      </c>
      <c r="C157" s="135">
        <f>Invoerenploeg!$BQ$17</f>
        <v>0</v>
      </c>
      <c r="F157" s="135"/>
      <c r="G157" s="135"/>
      <c r="H157" s="147"/>
      <c r="I157" s="148" t="s">
        <v>85</v>
      </c>
      <c r="J157" s="149">
        <f>Invoerenploeg!$BA$17</f>
        <v>0</v>
      </c>
      <c r="K157" s="137" t="s">
        <v>86</v>
      </c>
    </row>
    <row r="158" spans="1:16" ht="19.5" customHeight="1">
      <c r="A158" s="135">
        <f>Invoerenploeg!$BU$17</f>
        <v>0</v>
      </c>
      <c r="B158" s="135">
        <f>Invoerenploeg!$BS$17</f>
        <v>0</v>
      </c>
      <c r="C158" s="135">
        <f>Invoerenploeg!$BT$17</f>
        <v>0</v>
      </c>
      <c r="F158" s="135"/>
      <c r="G158" s="135"/>
      <c r="H158" s="147"/>
      <c r="I158" s="148" t="s">
        <v>5</v>
      </c>
      <c r="J158" s="152">
        <f>Invoerenploeg!$BB$17</f>
        <v>0</v>
      </c>
      <c r="L158" s="142" t="s">
        <v>95</v>
      </c>
      <c r="M158" s="142">
        <f>Invoerenploeg!$C$2</f>
        <v>50</v>
      </c>
      <c r="N158" s="153" t="s">
        <v>81</v>
      </c>
      <c r="O158" s="154">
        <f>Invoerenploeg!$BD$17</f>
        <v>0</v>
      </c>
      <c r="P158" s="7">
        <f>Invoerenploeg!$K$17</f>
      </c>
    </row>
    <row r="159" spans="1:16" ht="19.5" customHeight="1">
      <c r="A159" s="135">
        <f>Invoerenploeg!$BX$17</f>
        <v>0</v>
      </c>
      <c r="B159" s="135">
        <f>Invoerenploeg!$BV$17</f>
        <v>0</v>
      </c>
      <c r="C159" s="135">
        <f>Invoerenploeg!$BW$17</f>
        <v>0</v>
      </c>
      <c r="F159" s="135"/>
      <c r="G159" s="135"/>
      <c r="H159" s="155">
        <f>Invoerenploeg!$F$17</f>
        <v>0</v>
      </c>
      <c r="J159" s="152"/>
      <c r="L159" s="156" t="s">
        <v>17</v>
      </c>
      <c r="N159" s="142"/>
      <c r="O159" s="143">
        <f>Invoerenploeg!$C$17</f>
        <v>0</v>
      </c>
      <c r="P159" s="157"/>
    </row>
    <row r="160" spans="1:10" ht="19.5" customHeight="1">
      <c r="A160" s="135">
        <f>Invoerenploeg!$CA$17</f>
        <v>0</v>
      </c>
      <c r="B160" s="135">
        <f>Invoerenploeg!$BY$17</f>
        <v>0</v>
      </c>
      <c r="C160" s="135">
        <f>Invoerenploeg!$BZ$17</f>
        <v>0</v>
      </c>
      <c r="F160" s="135"/>
      <c r="G160" s="135"/>
      <c r="H160" s="147"/>
      <c r="I160" s="156"/>
      <c r="J160" s="152"/>
    </row>
    <row r="161" spans="1:13" ht="19.5" customHeight="1">
      <c r="A161" s="135">
        <f>Invoerenploeg!$CD$17</f>
        <v>0</v>
      </c>
      <c r="B161" s="135">
        <f>Invoerenploeg!$CB$17</f>
        <v>0</v>
      </c>
      <c r="C161" s="135">
        <f>Invoerenploeg!$CC$17</f>
        <v>0</v>
      </c>
      <c r="D161" s="135" t="s">
        <v>19</v>
      </c>
      <c r="E161" s="96"/>
      <c r="F161" s="96"/>
      <c r="G161" s="135">
        <f>Invoerenploeg!$CK$17</f>
        <v>0</v>
      </c>
      <c r="H161" s="96"/>
      <c r="I161" s="96"/>
      <c r="J161" s="96"/>
      <c r="K161" s="96"/>
      <c r="L161" s="96"/>
      <c r="M161" s="96"/>
    </row>
    <row r="162" spans="1:13" ht="19.5" customHeight="1">
      <c r="A162" s="135">
        <f>Invoerenploeg!$CG$17</f>
        <v>0</v>
      </c>
      <c r="B162" s="135">
        <f>Invoerenploeg!$CE$17</f>
        <v>0</v>
      </c>
      <c r="C162" s="135">
        <f>Invoerenploeg!$CF$17</f>
        <v>0</v>
      </c>
      <c r="D162" s="135" t="s">
        <v>20</v>
      </c>
      <c r="E162" s="96"/>
      <c r="F162" s="96"/>
      <c r="G162" s="135">
        <f>Invoerenploeg!$CL$17</f>
        <v>0</v>
      </c>
      <c r="H162" s="96"/>
      <c r="I162" s="96"/>
      <c r="J162" s="96"/>
      <c r="K162" s="96"/>
      <c r="L162" s="96"/>
      <c r="M162" s="96"/>
    </row>
    <row r="163" spans="1:10" ht="19.5" customHeight="1">
      <c r="A163" s="135">
        <f>Invoerenploeg!$CJ$17</f>
        <v>0</v>
      </c>
      <c r="B163" s="135">
        <f>Invoerenploeg!$CH$17</f>
        <v>0</v>
      </c>
      <c r="C163" s="135">
        <f>Invoerenploeg!$CI$17</f>
        <v>0</v>
      </c>
      <c r="F163" s="135"/>
      <c r="G163" s="135"/>
      <c r="H163" s="147"/>
      <c r="I163" s="156"/>
      <c r="J163" s="152"/>
    </row>
    <row r="164" ht="3" customHeight="1"/>
    <row r="165" spans="1:16" ht="19.5" customHeight="1">
      <c r="A165" s="155">
        <f>Invoerenploeg!$B$18</f>
        <v>4</v>
      </c>
      <c r="B165" s="161">
        <f>Invoerenploeg!$D$18</f>
        <v>0</v>
      </c>
      <c r="C165" s="125">
        <f>Invoerenploeg!$E$18</f>
        <v>0</v>
      </c>
      <c r="D165" s="268">
        <v>0.3</v>
      </c>
      <c r="E165" s="162">
        <f>Invoerenploeg!$Q$18</f>
        <v>0</v>
      </c>
      <c r="F165" s="162">
        <f>Invoerenploeg!$R$18</f>
        <v>0</v>
      </c>
      <c r="G165" s="162">
        <f>Invoerenploeg!$S$18</f>
        <v>0</v>
      </c>
      <c r="H165" s="163">
        <f>Invoerenploeg!$T$18</f>
        <v>0</v>
      </c>
      <c r="I165" s="163">
        <f>Invoerenploeg!$U$18</f>
        <v>0</v>
      </c>
      <c r="J165" s="136">
        <f>Invoerenploeg!$W$18</f>
        <v>0</v>
      </c>
      <c r="K165" s="130" t="s">
        <v>79</v>
      </c>
      <c r="L165" s="164" t="s">
        <v>80</v>
      </c>
      <c r="M165" s="165">
        <f>Invoerenploeg!$C$1</f>
        <v>50</v>
      </c>
      <c r="N165" s="166" t="s">
        <v>81</v>
      </c>
      <c r="O165" s="167">
        <f>Invoerenploeg!$DH$18*Invoerenploeg!$C$1/100</f>
        <v>0</v>
      </c>
      <c r="P165" s="270">
        <f>Invoerenploeg!$DI$18</f>
      </c>
    </row>
    <row r="166" spans="1:16" ht="19.5" customHeight="1">
      <c r="A166" s="135">
        <f>Invoerenploeg!$BI$18</f>
        <v>0</v>
      </c>
      <c r="B166" s="135">
        <f>Invoerenploeg!$BG$18</f>
        <v>0</v>
      </c>
      <c r="C166" s="135">
        <f>Invoerenploeg!$BH$18</f>
        <v>0</v>
      </c>
      <c r="D166" s="126">
        <v>0.4</v>
      </c>
      <c r="E166" s="127">
        <f>Invoerenploeg!$AD$18</f>
        <v>0</v>
      </c>
      <c r="F166" s="127">
        <f>Invoerenploeg!$AE$18</f>
        <v>0</v>
      </c>
      <c r="G166" s="127">
        <f>Invoerenploeg!$AF$18</f>
        <v>0</v>
      </c>
      <c r="H166" s="128">
        <f>Invoerenploeg!$AG$18</f>
        <v>0</v>
      </c>
      <c r="I166" s="128">
        <f>Invoerenploeg!$AH$18</f>
        <v>0</v>
      </c>
      <c r="J166" s="136">
        <f>Invoerenploeg!$AJ$18</f>
        <v>0</v>
      </c>
      <c r="K166" s="137" t="s">
        <v>82</v>
      </c>
      <c r="L166" s="138" t="s">
        <v>83</v>
      </c>
      <c r="M166" s="139">
        <f>Invoerenploeg!$C$3</f>
        <v>0</v>
      </c>
      <c r="N166" s="140" t="s">
        <v>81</v>
      </c>
      <c r="O166" s="141">
        <f>Invoerenploeg!$H$18*Invoerenploeg!$C$3/100</f>
        <v>0</v>
      </c>
      <c r="P166" s="7">
        <f>Invoerenploeg!$I$18</f>
      </c>
    </row>
    <row r="167" spans="1:11" ht="19.5" customHeight="1">
      <c r="A167" s="135">
        <f>Invoerenploeg!$BL$18</f>
        <v>0</v>
      </c>
      <c r="B167" s="135">
        <f>Invoerenploeg!$BJ$18</f>
        <v>0</v>
      </c>
      <c r="C167" s="135">
        <f>Invoerenploeg!$BK$18</f>
        <v>0</v>
      </c>
      <c r="D167" s="126">
        <v>0.3</v>
      </c>
      <c r="E167" s="127">
        <f>Invoerenploeg!$AQ$18</f>
        <v>0</v>
      </c>
      <c r="F167" s="127">
        <f>Invoerenploeg!$AR$18</f>
        <v>0</v>
      </c>
      <c r="G167" s="127">
        <f>Invoerenploeg!$AS$18</f>
        <v>0</v>
      </c>
      <c r="H167" s="128">
        <f>Invoerenploeg!$AT$18</f>
        <v>0</v>
      </c>
      <c r="I167" s="128">
        <f>Invoerenploeg!$AU$18</f>
        <v>0</v>
      </c>
      <c r="J167" s="136">
        <f>Invoerenploeg!$AW$18</f>
        <v>0</v>
      </c>
      <c r="K167" s="137" t="s">
        <v>84</v>
      </c>
    </row>
    <row r="168" spans="1:10" ht="19.5" customHeight="1">
      <c r="A168" s="135">
        <f>Invoerenploeg!$BO$18</f>
        <v>0</v>
      </c>
      <c r="B168" s="135">
        <f>Invoerenploeg!$BM$18</f>
        <v>0</v>
      </c>
      <c r="C168" s="135">
        <f>Invoerenploeg!$BN$18</f>
        <v>0</v>
      </c>
      <c r="F168" s="144"/>
      <c r="G168" s="144"/>
      <c r="H168" s="145"/>
      <c r="I168" s="145"/>
      <c r="J168" s="146">
        <f>SUM(J165:J167)</f>
        <v>0</v>
      </c>
    </row>
    <row r="169" spans="1:11" ht="19.5" customHeight="1">
      <c r="A169" s="135">
        <f>Invoerenploeg!$BR$18</f>
        <v>0</v>
      </c>
      <c r="B169" s="135">
        <f>Invoerenploeg!$BP$18</f>
        <v>0</v>
      </c>
      <c r="C169" s="135">
        <f>Invoerenploeg!$BQ$18</f>
        <v>0</v>
      </c>
      <c r="F169" s="135"/>
      <c r="G169" s="135"/>
      <c r="H169" s="147"/>
      <c r="I169" s="148" t="s">
        <v>85</v>
      </c>
      <c r="J169" s="149">
        <f>Invoerenploeg!$BA$18</f>
        <v>0</v>
      </c>
      <c r="K169" s="137" t="s">
        <v>86</v>
      </c>
    </row>
    <row r="170" spans="1:16" ht="19.5" customHeight="1">
      <c r="A170" s="135">
        <f>Invoerenploeg!$BU$18</f>
        <v>0</v>
      </c>
      <c r="B170" s="135">
        <f>Invoerenploeg!$BS$18</f>
        <v>0</v>
      </c>
      <c r="C170" s="135">
        <f>Invoerenploeg!$BT$18</f>
        <v>0</v>
      </c>
      <c r="F170" s="135"/>
      <c r="G170" s="135"/>
      <c r="H170" s="147"/>
      <c r="I170" s="148" t="s">
        <v>5</v>
      </c>
      <c r="J170" s="152">
        <f>Invoerenploeg!$BB$18</f>
        <v>0</v>
      </c>
      <c r="L170" s="142" t="s">
        <v>95</v>
      </c>
      <c r="M170" s="142">
        <f>Invoerenploeg!$C$2</f>
        <v>50</v>
      </c>
      <c r="N170" s="153" t="s">
        <v>81</v>
      </c>
      <c r="O170" s="154">
        <f>Invoerenploeg!$BD$18</f>
        <v>0</v>
      </c>
      <c r="P170" s="7">
        <f>Invoerenploeg!$K$18</f>
      </c>
    </row>
    <row r="171" spans="1:16" ht="19.5" customHeight="1">
      <c r="A171" s="135">
        <f>Invoerenploeg!$BX$18</f>
        <v>0</v>
      </c>
      <c r="B171" s="135">
        <f>Invoerenploeg!$BV$18</f>
        <v>0</v>
      </c>
      <c r="C171" s="135">
        <f>Invoerenploeg!$BW$18</f>
        <v>0</v>
      </c>
      <c r="F171" s="135"/>
      <c r="G171" s="135"/>
      <c r="H171" s="155">
        <f>Invoerenploeg!$F$18</f>
        <v>0</v>
      </c>
      <c r="J171" s="152"/>
      <c r="L171" s="156" t="s">
        <v>17</v>
      </c>
      <c r="N171" s="142"/>
      <c r="O171" s="143">
        <f>Invoerenploeg!$C$18</f>
        <v>0</v>
      </c>
      <c r="P171" s="157"/>
    </row>
    <row r="172" spans="1:10" ht="19.5" customHeight="1">
      <c r="A172" s="135">
        <f>Invoerenploeg!$CA$18</f>
        <v>0</v>
      </c>
      <c r="B172" s="135">
        <f>Invoerenploeg!$BY$18</f>
        <v>0</v>
      </c>
      <c r="C172" s="135">
        <f>Invoerenploeg!$BZ$18</f>
        <v>0</v>
      </c>
      <c r="F172" s="135"/>
      <c r="G172" s="135"/>
      <c r="H172" s="147"/>
      <c r="I172" s="156"/>
      <c r="J172" s="152"/>
    </row>
    <row r="173" spans="1:13" ht="19.5" customHeight="1">
      <c r="A173" s="135">
        <f>Invoerenploeg!$CD$18</f>
        <v>0</v>
      </c>
      <c r="B173" s="135">
        <f>Invoerenploeg!$CB$18</f>
        <v>0</v>
      </c>
      <c r="C173" s="135">
        <f>Invoerenploeg!$CC$18</f>
        <v>0</v>
      </c>
      <c r="D173" s="135" t="s">
        <v>19</v>
      </c>
      <c r="E173" s="96"/>
      <c r="F173" s="96"/>
      <c r="G173" s="135">
        <f>Invoerenploeg!$CK$18</f>
        <v>0</v>
      </c>
      <c r="H173" s="96"/>
      <c r="I173" s="96"/>
      <c r="J173" s="96"/>
      <c r="K173" s="96"/>
      <c r="L173" s="96"/>
      <c r="M173" s="96"/>
    </row>
    <row r="174" spans="1:13" ht="19.5" customHeight="1">
      <c r="A174" s="135">
        <f>Invoerenploeg!$CG$18</f>
        <v>0</v>
      </c>
      <c r="B174" s="135">
        <f>Invoerenploeg!$CE$18</f>
        <v>0</v>
      </c>
      <c r="C174" s="135">
        <f>Invoerenploeg!$CF$18</f>
        <v>0</v>
      </c>
      <c r="D174" s="135" t="s">
        <v>20</v>
      </c>
      <c r="E174" s="96"/>
      <c r="F174" s="96"/>
      <c r="G174" s="135">
        <f>Invoerenploeg!$CL$18</f>
        <v>0</v>
      </c>
      <c r="H174" s="96"/>
      <c r="I174" s="96"/>
      <c r="J174" s="96"/>
      <c r="K174" s="96"/>
      <c r="L174" s="96"/>
      <c r="M174" s="96"/>
    </row>
    <row r="175" spans="1:10" ht="19.5" customHeight="1">
      <c r="A175" s="135">
        <f>Invoerenploeg!$CJ$18</f>
        <v>0</v>
      </c>
      <c r="B175" s="135">
        <f>Invoerenploeg!$CH$18</f>
        <v>0</v>
      </c>
      <c r="C175" s="135">
        <f>Invoerenploeg!$CI$18</f>
        <v>0</v>
      </c>
      <c r="F175" s="135"/>
      <c r="G175" s="135"/>
      <c r="H175" s="147"/>
      <c r="I175" s="156"/>
      <c r="J175" s="152"/>
    </row>
    <row r="176" ht="3" customHeight="1"/>
    <row r="177" spans="1:16" ht="19.5" customHeight="1">
      <c r="A177" s="155">
        <f>Invoerenploeg!$B$19</f>
        <v>4</v>
      </c>
      <c r="B177" s="161">
        <f>Invoerenploeg!$D$19</f>
        <v>0</v>
      </c>
      <c r="C177" s="125">
        <f>Invoerenploeg!$E$19</f>
        <v>0</v>
      </c>
      <c r="D177" s="268">
        <v>0.3</v>
      </c>
      <c r="E177" s="162">
        <f>Invoerenploeg!$Q$19</f>
        <v>0</v>
      </c>
      <c r="F177" s="162">
        <f>Invoerenploeg!$R$19</f>
        <v>0</v>
      </c>
      <c r="G177" s="162">
        <f>Invoerenploeg!$S$19</f>
        <v>0</v>
      </c>
      <c r="H177" s="163">
        <f>Invoerenploeg!$T$19</f>
        <v>0</v>
      </c>
      <c r="I177" s="163">
        <f>Invoerenploeg!$U$19</f>
        <v>0</v>
      </c>
      <c r="J177" s="136">
        <f>Invoerenploeg!$W$19</f>
        <v>0</v>
      </c>
      <c r="K177" s="130" t="s">
        <v>79</v>
      </c>
      <c r="L177" s="164" t="s">
        <v>80</v>
      </c>
      <c r="M177" s="165">
        <f>Invoerenploeg!$C$1</f>
        <v>50</v>
      </c>
      <c r="N177" s="166" t="s">
        <v>81</v>
      </c>
      <c r="O177" s="167">
        <f>Invoerenploeg!$DH$19*Invoerenploeg!$C$1/100</f>
        <v>0</v>
      </c>
      <c r="P177" s="270">
        <f>Invoerenploeg!$DI$19</f>
      </c>
    </row>
    <row r="178" spans="1:16" ht="19.5" customHeight="1">
      <c r="A178" s="135">
        <f>Invoerenploeg!$BI$19</f>
        <v>0</v>
      </c>
      <c r="B178" s="135">
        <f>Invoerenploeg!$BG$19</f>
        <v>0</v>
      </c>
      <c r="C178" s="135">
        <f>Invoerenploeg!$BH$19</f>
        <v>0</v>
      </c>
      <c r="D178" s="126">
        <v>0.4</v>
      </c>
      <c r="E178" s="127">
        <f>Invoerenploeg!$AD$19</f>
        <v>0</v>
      </c>
      <c r="F178" s="127">
        <f>Invoerenploeg!$AE$19</f>
        <v>0</v>
      </c>
      <c r="G178" s="127">
        <f>Invoerenploeg!$AF$19</f>
        <v>0</v>
      </c>
      <c r="H178" s="128">
        <f>Invoerenploeg!$AG$19</f>
        <v>0</v>
      </c>
      <c r="I178" s="128">
        <f>Invoerenploeg!$AH$19</f>
        <v>0</v>
      </c>
      <c r="J178" s="136">
        <f>Invoerenploeg!$AJ$19</f>
        <v>0</v>
      </c>
      <c r="K178" s="137" t="s">
        <v>82</v>
      </c>
      <c r="L178" s="138" t="s">
        <v>83</v>
      </c>
      <c r="M178" s="139">
        <f>Invoerenploeg!$C$3</f>
        <v>0</v>
      </c>
      <c r="N178" s="140" t="s">
        <v>81</v>
      </c>
      <c r="O178" s="141">
        <f>Invoerenploeg!$H$19*Invoerenploeg!$C$3/100</f>
        <v>0</v>
      </c>
      <c r="P178" s="7">
        <f>Invoerenploeg!$I$19</f>
      </c>
    </row>
    <row r="179" spans="1:11" ht="19.5" customHeight="1">
      <c r="A179" s="135">
        <f>Invoerenploeg!$BL$19</f>
        <v>0</v>
      </c>
      <c r="B179" s="135">
        <f>Invoerenploeg!$BJ$19</f>
        <v>0</v>
      </c>
      <c r="C179" s="135">
        <f>Invoerenploeg!$BK$19</f>
        <v>0</v>
      </c>
      <c r="D179" s="126">
        <v>0.3</v>
      </c>
      <c r="E179" s="127">
        <f>Invoerenploeg!$AQ$19</f>
        <v>0</v>
      </c>
      <c r="F179" s="127">
        <f>Invoerenploeg!$AR$19</f>
        <v>0</v>
      </c>
      <c r="G179" s="127">
        <f>Invoerenploeg!$AS$19</f>
        <v>0</v>
      </c>
      <c r="H179" s="128">
        <f>Invoerenploeg!$AT$19</f>
        <v>0</v>
      </c>
      <c r="I179" s="128">
        <f>Invoerenploeg!$AU$19</f>
        <v>0</v>
      </c>
      <c r="J179" s="136">
        <f>Invoerenploeg!$AW$19</f>
        <v>0</v>
      </c>
      <c r="K179" s="137" t="s">
        <v>84</v>
      </c>
    </row>
    <row r="180" spans="1:10" ht="19.5" customHeight="1">
      <c r="A180" s="135">
        <f>Invoerenploeg!$BO$19</f>
        <v>0</v>
      </c>
      <c r="B180" s="135">
        <f>Invoerenploeg!$BM$19</f>
        <v>0</v>
      </c>
      <c r="C180" s="135">
        <f>Invoerenploeg!$BN$19</f>
        <v>0</v>
      </c>
      <c r="F180" s="144"/>
      <c r="G180" s="144"/>
      <c r="H180" s="145"/>
      <c r="I180" s="145"/>
      <c r="J180" s="146">
        <f>SUM(J177:J179)</f>
        <v>0</v>
      </c>
    </row>
    <row r="181" spans="1:11" ht="19.5" customHeight="1">
      <c r="A181" s="135">
        <f>Invoerenploeg!$BR$19</f>
        <v>0</v>
      </c>
      <c r="B181" s="135">
        <f>Invoerenploeg!$BP$19</f>
        <v>0</v>
      </c>
      <c r="C181" s="135">
        <f>Invoerenploeg!$BQ$19</f>
        <v>0</v>
      </c>
      <c r="F181" s="135"/>
      <c r="G181" s="135"/>
      <c r="H181" s="147"/>
      <c r="I181" s="148" t="s">
        <v>85</v>
      </c>
      <c r="J181" s="149">
        <f>Invoerenploeg!$BA$19</f>
        <v>0</v>
      </c>
      <c r="K181" s="137" t="s">
        <v>86</v>
      </c>
    </row>
    <row r="182" spans="1:16" ht="19.5" customHeight="1">
      <c r="A182" s="135">
        <f>Invoerenploeg!$BU$19</f>
        <v>0</v>
      </c>
      <c r="B182" s="135">
        <f>Invoerenploeg!$BS$19</f>
        <v>0</v>
      </c>
      <c r="C182" s="135">
        <f>Invoerenploeg!$BT$19</f>
        <v>0</v>
      </c>
      <c r="F182" s="135"/>
      <c r="G182" s="135"/>
      <c r="H182" s="147"/>
      <c r="I182" s="148" t="s">
        <v>5</v>
      </c>
      <c r="J182" s="152">
        <f>Invoerenploeg!$BB$19</f>
        <v>0</v>
      </c>
      <c r="L182" s="142" t="s">
        <v>95</v>
      </c>
      <c r="M182" s="142">
        <f>Invoerenploeg!$C$2</f>
        <v>50</v>
      </c>
      <c r="N182" s="153" t="s">
        <v>81</v>
      </c>
      <c r="O182" s="154">
        <f>Invoerenploeg!$BD$19</f>
        <v>0</v>
      </c>
      <c r="P182" s="7">
        <f>Invoerenploeg!$K$19</f>
      </c>
    </row>
    <row r="183" spans="1:16" ht="19.5" customHeight="1">
      <c r="A183" s="135">
        <f>Invoerenploeg!$BX$19</f>
        <v>0</v>
      </c>
      <c r="B183" s="135">
        <f>Invoerenploeg!$BV$19</f>
        <v>0</v>
      </c>
      <c r="C183" s="135">
        <f>Invoerenploeg!$BW$19</f>
        <v>0</v>
      </c>
      <c r="F183" s="135"/>
      <c r="G183" s="135"/>
      <c r="H183" s="155">
        <f>Invoerenploeg!$F$19</f>
        <v>0</v>
      </c>
      <c r="J183" s="152"/>
      <c r="L183" s="156" t="s">
        <v>17</v>
      </c>
      <c r="N183" s="142"/>
      <c r="O183" s="143">
        <f>Invoerenploeg!$C$19</f>
        <v>0</v>
      </c>
      <c r="P183" s="157"/>
    </row>
    <row r="184" spans="1:10" ht="19.5" customHeight="1">
      <c r="A184" s="135">
        <f>Invoerenploeg!$CA$19</f>
        <v>0</v>
      </c>
      <c r="B184" s="135">
        <f>Invoerenploeg!$BY$19</f>
        <v>0</v>
      </c>
      <c r="C184" s="135">
        <f>Invoerenploeg!$BZ$19</f>
        <v>0</v>
      </c>
      <c r="F184" s="135"/>
      <c r="G184" s="135"/>
      <c r="H184" s="147"/>
      <c r="I184" s="156"/>
      <c r="J184" s="152"/>
    </row>
    <row r="185" spans="1:13" ht="19.5" customHeight="1">
      <c r="A185" s="135">
        <f>Invoerenploeg!$CD$19</f>
        <v>0</v>
      </c>
      <c r="B185" s="135">
        <f>Invoerenploeg!$CB$19</f>
        <v>0</v>
      </c>
      <c r="C185" s="135">
        <f>Invoerenploeg!$CC$19</f>
        <v>0</v>
      </c>
      <c r="D185" s="135" t="s">
        <v>19</v>
      </c>
      <c r="E185" s="96"/>
      <c r="F185" s="96"/>
      <c r="G185" s="135">
        <f>Invoerenploeg!$CK$19</f>
        <v>0</v>
      </c>
      <c r="H185" s="96"/>
      <c r="I185" s="96"/>
      <c r="J185" s="96"/>
      <c r="K185" s="96"/>
      <c r="L185" s="96"/>
      <c r="M185" s="96"/>
    </row>
    <row r="186" spans="1:13" ht="19.5" customHeight="1">
      <c r="A186" s="135">
        <f>Invoerenploeg!$CG$19</f>
        <v>0</v>
      </c>
      <c r="B186" s="135">
        <f>Invoerenploeg!$CE$19</f>
        <v>0</v>
      </c>
      <c r="C186" s="135">
        <f>Invoerenploeg!$CF$19</f>
        <v>0</v>
      </c>
      <c r="D186" s="135" t="s">
        <v>20</v>
      </c>
      <c r="E186" s="96"/>
      <c r="F186" s="96"/>
      <c r="G186" s="135">
        <f>Invoerenploeg!$CL$19</f>
        <v>0</v>
      </c>
      <c r="H186" s="96"/>
      <c r="I186" s="96"/>
      <c r="J186" s="96"/>
      <c r="K186" s="96"/>
      <c r="L186" s="96"/>
      <c r="M186" s="96"/>
    </row>
    <row r="187" spans="1:10" ht="19.5" customHeight="1">
      <c r="A187" s="135">
        <f>Invoerenploeg!$CJ$19</f>
        <v>0</v>
      </c>
      <c r="B187" s="135">
        <f>Invoerenploeg!$CH$19</f>
        <v>0</v>
      </c>
      <c r="C187" s="135">
        <f>Invoerenploeg!$CI$19</f>
        <v>0</v>
      </c>
      <c r="F187" s="135"/>
      <c r="G187" s="135"/>
      <c r="H187" s="147"/>
      <c r="I187" s="156"/>
      <c r="J187" s="152"/>
    </row>
    <row r="188" ht="3" customHeight="1"/>
    <row r="189" spans="1:16" ht="19.5" customHeight="1">
      <c r="A189" s="155">
        <f>Invoerenploeg!$B$20</f>
        <v>4</v>
      </c>
      <c r="B189" s="161">
        <f>Invoerenploeg!$D$20</f>
        <v>0</v>
      </c>
      <c r="C189" s="125">
        <f>Invoerenploeg!$E$20</f>
        <v>0</v>
      </c>
      <c r="D189" s="268">
        <v>0.3</v>
      </c>
      <c r="E189" s="162">
        <f>Invoerenploeg!$Q$20</f>
        <v>0</v>
      </c>
      <c r="F189" s="162">
        <f>Invoerenploeg!$R$20</f>
        <v>0</v>
      </c>
      <c r="G189" s="162">
        <f>Invoerenploeg!$S$20</f>
        <v>0</v>
      </c>
      <c r="H189" s="163">
        <f>Invoerenploeg!$T$20</f>
        <v>0</v>
      </c>
      <c r="I189" s="163">
        <f>Invoerenploeg!$U$20</f>
        <v>0</v>
      </c>
      <c r="J189" s="136">
        <f>Invoerenploeg!$W$20</f>
        <v>0</v>
      </c>
      <c r="K189" s="130" t="s">
        <v>79</v>
      </c>
      <c r="L189" s="164" t="s">
        <v>80</v>
      </c>
      <c r="M189" s="165">
        <f>Invoerenploeg!$C$1</f>
        <v>50</v>
      </c>
      <c r="N189" s="166" t="s">
        <v>81</v>
      </c>
      <c r="O189" s="167">
        <f>Invoerenploeg!$DH$20*Invoerenploeg!$C$1/100</f>
        <v>0</v>
      </c>
      <c r="P189" s="270">
        <f>Invoerenploeg!$DI$20</f>
      </c>
    </row>
    <row r="190" spans="1:16" ht="19.5" customHeight="1">
      <c r="A190" s="135">
        <f>Invoerenploeg!$BI$20</f>
        <v>0</v>
      </c>
      <c r="B190" s="135">
        <f>Invoerenploeg!$BG$20</f>
        <v>0</v>
      </c>
      <c r="C190" s="135">
        <f>Invoerenploeg!$BH$20</f>
        <v>0</v>
      </c>
      <c r="D190" s="126">
        <v>0.4</v>
      </c>
      <c r="E190" s="127">
        <f>Invoerenploeg!$AD$20</f>
        <v>0</v>
      </c>
      <c r="F190" s="127">
        <f>Invoerenploeg!$AE$20</f>
        <v>0</v>
      </c>
      <c r="G190" s="127">
        <f>Invoerenploeg!$AF$20</f>
        <v>0</v>
      </c>
      <c r="H190" s="128">
        <f>Invoerenploeg!$AG$20</f>
        <v>0</v>
      </c>
      <c r="I190" s="128">
        <f>Invoerenploeg!$AH$20</f>
        <v>0</v>
      </c>
      <c r="J190" s="136">
        <f>Invoerenploeg!$AJ$20</f>
        <v>0</v>
      </c>
      <c r="K190" s="137" t="s">
        <v>82</v>
      </c>
      <c r="L190" s="138" t="s">
        <v>83</v>
      </c>
      <c r="M190" s="139">
        <f>Invoerenploeg!$C$3</f>
        <v>0</v>
      </c>
      <c r="N190" s="140" t="s">
        <v>81</v>
      </c>
      <c r="O190" s="141">
        <f>Invoerenploeg!$H$20*Invoerenploeg!$C$3/100</f>
        <v>0</v>
      </c>
      <c r="P190" s="7">
        <f>Invoerenploeg!$I$20</f>
      </c>
    </row>
    <row r="191" spans="1:11" ht="19.5" customHeight="1">
      <c r="A191" s="135">
        <f>Invoerenploeg!$BL$20</f>
        <v>0</v>
      </c>
      <c r="B191" s="135">
        <f>Invoerenploeg!$BJ$20</f>
        <v>0</v>
      </c>
      <c r="C191" s="135">
        <f>Invoerenploeg!$BK$20</f>
        <v>0</v>
      </c>
      <c r="D191" s="126">
        <v>0.3</v>
      </c>
      <c r="E191" s="127">
        <f>Invoerenploeg!$AQ$20</f>
        <v>0</v>
      </c>
      <c r="F191" s="127">
        <f>Invoerenploeg!$AR$20</f>
        <v>0</v>
      </c>
      <c r="G191" s="127">
        <f>Invoerenploeg!$AS$20</f>
        <v>0</v>
      </c>
      <c r="H191" s="128">
        <f>Invoerenploeg!$AT$20</f>
        <v>0</v>
      </c>
      <c r="I191" s="128">
        <f>Invoerenploeg!$AU$20</f>
        <v>0</v>
      </c>
      <c r="J191" s="136">
        <f>Invoerenploeg!$AW$20</f>
        <v>0</v>
      </c>
      <c r="K191" s="137" t="s">
        <v>84</v>
      </c>
    </row>
    <row r="192" spans="1:10" ht="19.5" customHeight="1">
      <c r="A192" s="135">
        <f>Invoerenploeg!$BO$20</f>
        <v>0</v>
      </c>
      <c r="B192" s="135">
        <f>Invoerenploeg!$BM$20</f>
        <v>0</v>
      </c>
      <c r="C192" s="135">
        <f>Invoerenploeg!$BN$20</f>
        <v>0</v>
      </c>
      <c r="F192" s="144"/>
      <c r="G192" s="144"/>
      <c r="H192" s="145"/>
      <c r="I192" s="145"/>
      <c r="J192" s="146">
        <f>SUM(J189:J191)</f>
        <v>0</v>
      </c>
    </row>
    <row r="193" spans="1:11" ht="19.5" customHeight="1">
      <c r="A193" s="135">
        <f>Invoerenploeg!$BR$20</f>
        <v>0</v>
      </c>
      <c r="B193" s="135">
        <f>Invoerenploeg!$BP$20</f>
        <v>0</v>
      </c>
      <c r="C193" s="135">
        <f>Invoerenploeg!$BQ$20</f>
        <v>0</v>
      </c>
      <c r="F193" s="135"/>
      <c r="G193" s="135"/>
      <c r="H193" s="147"/>
      <c r="I193" s="148" t="s">
        <v>85</v>
      </c>
      <c r="J193" s="149">
        <f>Invoerenploeg!$BA$20</f>
        <v>0</v>
      </c>
      <c r="K193" s="137" t="s">
        <v>86</v>
      </c>
    </row>
    <row r="194" spans="1:16" ht="19.5" customHeight="1">
      <c r="A194" s="135">
        <f>Invoerenploeg!$BU$20</f>
        <v>0</v>
      </c>
      <c r="B194" s="135">
        <f>Invoerenploeg!$BS$20</f>
        <v>0</v>
      </c>
      <c r="C194" s="135">
        <f>Invoerenploeg!$BT$20</f>
        <v>0</v>
      </c>
      <c r="F194" s="135"/>
      <c r="G194" s="135"/>
      <c r="H194" s="147"/>
      <c r="I194" s="148" t="s">
        <v>5</v>
      </c>
      <c r="J194" s="152">
        <f>Invoerenploeg!$BB$20</f>
        <v>0</v>
      </c>
      <c r="L194" s="142" t="s">
        <v>95</v>
      </c>
      <c r="M194" s="142">
        <f>Invoerenploeg!$C$2</f>
        <v>50</v>
      </c>
      <c r="N194" s="153" t="s">
        <v>81</v>
      </c>
      <c r="O194" s="154">
        <f>Invoerenploeg!$BD$20</f>
        <v>0</v>
      </c>
      <c r="P194" s="7">
        <f>Invoerenploeg!$K$20</f>
      </c>
    </row>
    <row r="195" spans="1:16" ht="19.5" customHeight="1">
      <c r="A195" s="135">
        <f>Invoerenploeg!$BX$20</f>
        <v>0</v>
      </c>
      <c r="B195" s="135">
        <f>Invoerenploeg!$BV$20</f>
        <v>0</v>
      </c>
      <c r="C195" s="135">
        <f>Invoerenploeg!$BW$20</f>
        <v>0</v>
      </c>
      <c r="F195" s="135"/>
      <c r="G195" s="135"/>
      <c r="H195" s="155">
        <f>Invoerenploeg!$F$20</f>
        <v>0</v>
      </c>
      <c r="J195" s="152"/>
      <c r="L195" s="156" t="s">
        <v>17</v>
      </c>
      <c r="N195" s="142"/>
      <c r="O195" s="143">
        <f>Invoerenploeg!$C$20</f>
        <v>0</v>
      </c>
      <c r="P195" s="157"/>
    </row>
    <row r="196" spans="1:10" ht="19.5" customHeight="1">
      <c r="A196" s="135">
        <f>Invoerenploeg!$CA$20</f>
        <v>0</v>
      </c>
      <c r="B196" s="135">
        <f>Invoerenploeg!$BY$20</f>
        <v>0</v>
      </c>
      <c r="C196" s="135">
        <f>Invoerenploeg!$BZ$20</f>
        <v>0</v>
      </c>
      <c r="F196" s="135"/>
      <c r="G196" s="135"/>
      <c r="H196" s="147"/>
      <c r="I196" s="156"/>
      <c r="J196" s="152"/>
    </row>
    <row r="197" spans="1:13" ht="19.5" customHeight="1">
      <c r="A197" s="135">
        <f>Invoerenploeg!$CD$20</f>
        <v>0</v>
      </c>
      <c r="B197" s="135">
        <f>Invoerenploeg!$CB$20</f>
        <v>0</v>
      </c>
      <c r="C197" s="135">
        <f>Invoerenploeg!$CC$20</f>
        <v>0</v>
      </c>
      <c r="D197" s="135" t="s">
        <v>19</v>
      </c>
      <c r="E197" s="96"/>
      <c r="F197" s="96"/>
      <c r="G197" s="135">
        <f>Invoerenploeg!$CK$20</f>
        <v>0</v>
      </c>
      <c r="H197" s="96"/>
      <c r="I197" s="96"/>
      <c r="J197" s="96"/>
      <c r="K197" s="96"/>
      <c r="L197" s="96"/>
      <c r="M197" s="96"/>
    </row>
    <row r="198" spans="1:13" ht="19.5" customHeight="1">
      <c r="A198" s="135">
        <f>Invoerenploeg!$CG$20</f>
        <v>0</v>
      </c>
      <c r="B198" s="135">
        <f>Invoerenploeg!$CE$20</f>
        <v>0</v>
      </c>
      <c r="C198" s="135">
        <f>Invoerenploeg!$CF$20</f>
        <v>0</v>
      </c>
      <c r="D198" s="135" t="s">
        <v>20</v>
      </c>
      <c r="E198" s="96"/>
      <c r="F198" s="96"/>
      <c r="G198" s="135">
        <f>Invoerenploeg!$CL$20</f>
        <v>0</v>
      </c>
      <c r="H198" s="96"/>
      <c r="I198" s="96"/>
      <c r="J198" s="96"/>
      <c r="K198" s="96"/>
      <c r="L198" s="96"/>
      <c r="M198" s="96"/>
    </row>
    <row r="199" spans="1:10" ht="19.5" customHeight="1">
      <c r="A199" s="135">
        <f>Invoerenploeg!$CJ$20</f>
        <v>0</v>
      </c>
      <c r="B199" s="135">
        <f>Invoerenploeg!$CH$20</f>
        <v>0</v>
      </c>
      <c r="C199" s="135">
        <f>Invoerenploeg!$CI$20</f>
        <v>0</v>
      </c>
      <c r="F199" s="135"/>
      <c r="G199" s="135"/>
      <c r="H199" s="147"/>
      <c r="I199" s="156"/>
      <c r="J199" s="152"/>
    </row>
    <row r="200" ht="3" customHeight="1"/>
    <row r="201" spans="1:16" ht="19.5" customHeight="1">
      <c r="A201" s="155">
        <f>Invoerenploeg!$B$21</f>
        <v>4</v>
      </c>
      <c r="B201" s="161">
        <f>Invoerenploeg!$D$21</f>
        <v>0</v>
      </c>
      <c r="C201" s="125">
        <f>Invoerenploeg!$E$21</f>
        <v>0</v>
      </c>
      <c r="D201" s="268">
        <v>0.3</v>
      </c>
      <c r="E201" s="162">
        <f>Invoerenploeg!$Q$21</f>
        <v>0</v>
      </c>
      <c r="F201" s="162">
        <f>Invoerenploeg!$R$21</f>
        <v>0</v>
      </c>
      <c r="G201" s="162">
        <f>Invoerenploeg!$S$21</f>
        <v>0</v>
      </c>
      <c r="H201" s="163">
        <f>Invoerenploeg!$T$21</f>
        <v>0</v>
      </c>
      <c r="I201" s="163">
        <f>Invoerenploeg!$U$21</f>
        <v>0</v>
      </c>
      <c r="J201" s="136">
        <f>Invoerenploeg!$W$21</f>
        <v>0</v>
      </c>
      <c r="K201" s="130" t="s">
        <v>79</v>
      </c>
      <c r="L201" s="164" t="s">
        <v>80</v>
      </c>
      <c r="M201" s="165">
        <f>Invoerenploeg!$C$1</f>
        <v>50</v>
      </c>
      <c r="N201" s="166" t="s">
        <v>81</v>
      </c>
      <c r="O201" s="167">
        <f>Invoerenploeg!$DH$21*Invoerenploeg!$C$1/100</f>
        <v>0</v>
      </c>
      <c r="P201" s="270">
        <f>Invoerenploeg!$DI$21</f>
      </c>
    </row>
    <row r="202" spans="1:16" ht="19.5" customHeight="1">
      <c r="A202" s="135">
        <f>Invoerenploeg!$BI$21</f>
        <v>0</v>
      </c>
      <c r="B202" s="135">
        <f>Invoerenploeg!$BG$21</f>
        <v>0</v>
      </c>
      <c r="C202" s="135">
        <f>Invoerenploeg!$BH$21</f>
        <v>0</v>
      </c>
      <c r="D202" s="126">
        <v>0.4</v>
      </c>
      <c r="E202" s="127">
        <f>Invoerenploeg!$AD$21</f>
        <v>0</v>
      </c>
      <c r="F202" s="127">
        <f>Invoerenploeg!$AE$21</f>
        <v>0</v>
      </c>
      <c r="G202" s="127">
        <f>Invoerenploeg!$AF$21</f>
        <v>0</v>
      </c>
      <c r="H202" s="128">
        <f>Invoerenploeg!$AG$21</f>
        <v>0</v>
      </c>
      <c r="I202" s="128">
        <f>Invoerenploeg!$AH$21</f>
        <v>0</v>
      </c>
      <c r="J202" s="136">
        <f>Invoerenploeg!$AJ$21</f>
        <v>0</v>
      </c>
      <c r="K202" s="137" t="s">
        <v>82</v>
      </c>
      <c r="L202" s="138" t="s">
        <v>83</v>
      </c>
      <c r="M202" s="139">
        <f>Invoerenploeg!$C$3</f>
        <v>0</v>
      </c>
      <c r="N202" s="140" t="s">
        <v>81</v>
      </c>
      <c r="O202" s="141">
        <f>Invoerenploeg!$H$21*Invoerenploeg!$C$3/100</f>
        <v>0</v>
      </c>
      <c r="P202" s="7">
        <f>Invoerenploeg!$I$21</f>
      </c>
    </row>
    <row r="203" spans="1:11" ht="19.5" customHeight="1">
      <c r="A203" s="135">
        <f>Invoerenploeg!$BL$21</f>
        <v>0</v>
      </c>
      <c r="B203" s="135">
        <f>Invoerenploeg!$BJ$21</f>
        <v>0</v>
      </c>
      <c r="C203" s="135">
        <f>Invoerenploeg!$BK$21</f>
        <v>0</v>
      </c>
      <c r="D203" s="126">
        <v>0.3</v>
      </c>
      <c r="E203" s="127">
        <f>Invoerenploeg!$AQ$21</f>
        <v>0</v>
      </c>
      <c r="F203" s="127">
        <f>Invoerenploeg!$AR$21</f>
        <v>0</v>
      </c>
      <c r="G203" s="127">
        <f>Invoerenploeg!$AS$21</f>
        <v>0</v>
      </c>
      <c r="H203" s="128">
        <f>Invoerenploeg!$AT$21</f>
        <v>0</v>
      </c>
      <c r="I203" s="128">
        <f>Invoerenploeg!$AU$21</f>
        <v>0</v>
      </c>
      <c r="J203" s="136">
        <f>Invoerenploeg!$AW$21</f>
        <v>0</v>
      </c>
      <c r="K203" s="137" t="s">
        <v>84</v>
      </c>
    </row>
    <row r="204" spans="1:10" ht="19.5" customHeight="1">
      <c r="A204" s="135">
        <f>Invoerenploeg!$BO$21</f>
        <v>0</v>
      </c>
      <c r="B204" s="135">
        <f>Invoerenploeg!$BM$21</f>
        <v>0</v>
      </c>
      <c r="C204" s="135">
        <f>Invoerenploeg!$BN$21</f>
        <v>0</v>
      </c>
      <c r="F204" s="144"/>
      <c r="G204" s="144"/>
      <c r="H204" s="145"/>
      <c r="I204" s="145"/>
      <c r="J204" s="146">
        <f>SUM(J201:J203)</f>
        <v>0</v>
      </c>
    </row>
    <row r="205" spans="1:11" ht="19.5" customHeight="1">
      <c r="A205" s="135">
        <f>Invoerenploeg!$BR$21</f>
        <v>0</v>
      </c>
      <c r="B205" s="135">
        <f>Invoerenploeg!$BP$21</f>
        <v>0</v>
      </c>
      <c r="C205" s="135">
        <f>Invoerenploeg!$BQ$21</f>
        <v>0</v>
      </c>
      <c r="F205" s="135"/>
      <c r="G205" s="135"/>
      <c r="H205" s="147"/>
      <c r="I205" s="148" t="s">
        <v>85</v>
      </c>
      <c r="J205" s="149">
        <f>Invoerenploeg!$BA$21</f>
        <v>0</v>
      </c>
      <c r="K205" s="137" t="s">
        <v>86</v>
      </c>
    </row>
    <row r="206" spans="1:16" ht="19.5" customHeight="1">
      <c r="A206" s="135">
        <f>Invoerenploeg!$BU$21</f>
        <v>0</v>
      </c>
      <c r="B206" s="135">
        <f>Invoerenploeg!$BS$21</f>
        <v>0</v>
      </c>
      <c r="C206" s="135">
        <f>Invoerenploeg!$BT$21</f>
        <v>0</v>
      </c>
      <c r="F206" s="135"/>
      <c r="G206" s="135"/>
      <c r="H206" s="147"/>
      <c r="I206" s="148" t="s">
        <v>5</v>
      </c>
      <c r="J206" s="152">
        <f>Invoerenploeg!$BB$21</f>
        <v>0</v>
      </c>
      <c r="L206" s="142" t="s">
        <v>95</v>
      </c>
      <c r="M206" s="142">
        <f>Invoerenploeg!$C$2</f>
        <v>50</v>
      </c>
      <c r="N206" s="153" t="s">
        <v>81</v>
      </c>
      <c r="O206" s="154">
        <f>Invoerenploeg!$BD$21</f>
        <v>0</v>
      </c>
      <c r="P206" s="7">
        <f>Invoerenploeg!$K$21</f>
      </c>
    </row>
    <row r="207" spans="1:16" ht="19.5" customHeight="1">
      <c r="A207" s="135">
        <f>Invoerenploeg!$BX$21</f>
        <v>0</v>
      </c>
      <c r="B207" s="135">
        <f>Invoerenploeg!$BV$21</f>
        <v>0</v>
      </c>
      <c r="C207" s="135">
        <f>Invoerenploeg!$BW$21</f>
        <v>0</v>
      </c>
      <c r="F207" s="135"/>
      <c r="G207" s="135"/>
      <c r="H207" s="155">
        <f>Invoerenploeg!$F$21</f>
        <v>0</v>
      </c>
      <c r="J207" s="152"/>
      <c r="L207" s="156" t="s">
        <v>17</v>
      </c>
      <c r="N207" s="142"/>
      <c r="O207" s="143">
        <f>Invoerenploeg!$C$21</f>
        <v>0</v>
      </c>
      <c r="P207" s="157"/>
    </row>
    <row r="208" spans="1:10" ht="19.5" customHeight="1">
      <c r="A208" s="135">
        <f>Invoerenploeg!$CA$21</f>
        <v>0</v>
      </c>
      <c r="B208" s="135">
        <f>Invoerenploeg!$BY$21</f>
        <v>0</v>
      </c>
      <c r="C208" s="135">
        <f>Invoerenploeg!$BZ$21</f>
        <v>0</v>
      </c>
      <c r="F208" s="135"/>
      <c r="G208" s="135"/>
      <c r="H208" s="147"/>
      <c r="I208" s="156"/>
      <c r="J208" s="152"/>
    </row>
    <row r="209" spans="1:13" ht="19.5" customHeight="1">
      <c r="A209" s="135">
        <f>Invoerenploeg!$CD$21</f>
        <v>0</v>
      </c>
      <c r="B209" s="135">
        <f>Invoerenploeg!$CB$21</f>
        <v>0</v>
      </c>
      <c r="C209" s="135">
        <f>Invoerenploeg!$CC$21</f>
        <v>0</v>
      </c>
      <c r="D209" s="135" t="s">
        <v>19</v>
      </c>
      <c r="E209" s="96"/>
      <c r="F209" s="96"/>
      <c r="G209" s="135">
        <f>Invoerenploeg!$CK$21</f>
        <v>0</v>
      </c>
      <c r="H209" s="96"/>
      <c r="I209" s="96"/>
      <c r="J209" s="96"/>
      <c r="K209" s="96"/>
      <c r="L209" s="96"/>
      <c r="M209" s="96"/>
    </row>
    <row r="210" spans="1:13" ht="19.5" customHeight="1">
      <c r="A210" s="135">
        <f>Invoerenploeg!$CG$21</f>
        <v>0</v>
      </c>
      <c r="B210" s="135">
        <f>Invoerenploeg!$CE$21</f>
        <v>0</v>
      </c>
      <c r="C210" s="135">
        <f>Invoerenploeg!$CF$21</f>
        <v>0</v>
      </c>
      <c r="D210" s="135" t="s">
        <v>20</v>
      </c>
      <c r="E210" s="96"/>
      <c r="F210" s="96"/>
      <c r="G210" s="135">
        <f>Invoerenploeg!$CL$21</f>
        <v>0</v>
      </c>
      <c r="H210" s="96"/>
      <c r="I210" s="96"/>
      <c r="J210" s="96"/>
      <c r="K210" s="96"/>
      <c r="L210" s="96"/>
      <c r="M210" s="96"/>
    </row>
    <row r="211" spans="1:10" ht="19.5" customHeight="1">
      <c r="A211" s="135">
        <f>Invoerenploeg!$CJ$21</f>
        <v>0</v>
      </c>
      <c r="B211" s="135">
        <f>Invoerenploeg!$CH$21</f>
        <v>0</v>
      </c>
      <c r="C211" s="135">
        <f>Invoerenploeg!$CI$21</f>
        <v>0</v>
      </c>
      <c r="F211" s="135"/>
      <c r="G211" s="135"/>
      <c r="H211" s="147"/>
      <c r="I211" s="156"/>
      <c r="J211" s="152"/>
    </row>
    <row r="212" ht="3" customHeight="1"/>
    <row r="213" spans="1:16" ht="19.5" customHeight="1">
      <c r="A213" s="155">
        <f>Invoerenploeg!$B$22</f>
        <v>4</v>
      </c>
      <c r="B213" s="161">
        <f>Invoerenploeg!$D$22</f>
        <v>0</v>
      </c>
      <c r="C213" s="125">
        <f>Invoerenploeg!$E$22</f>
        <v>0</v>
      </c>
      <c r="D213" s="268">
        <v>0.3</v>
      </c>
      <c r="E213" s="162">
        <f>Invoerenploeg!$Q$22</f>
        <v>0</v>
      </c>
      <c r="F213" s="162">
        <f>Invoerenploeg!$R$22</f>
        <v>0</v>
      </c>
      <c r="G213" s="162">
        <f>Invoerenploeg!$S$22</f>
        <v>0</v>
      </c>
      <c r="H213" s="163">
        <f>Invoerenploeg!$T$22</f>
        <v>0</v>
      </c>
      <c r="I213" s="163">
        <f>Invoerenploeg!$U$22</f>
        <v>0</v>
      </c>
      <c r="J213" s="136">
        <f>Invoerenploeg!$W$22</f>
        <v>0</v>
      </c>
      <c r="K213" s="130" t="s">
        <v>79</v>
      </c>
      <c r="L213" s="164" t="s">
        <v>80</v>
      </c>
      <c r="M213" s="165">
        <f>Invoerenploeg!$C$1</f>
        <v>50</v>
      </c>
      <c r="N213" s="166" t="s">
        <v>81</v>
      </c>
      <c r="O213" s="167">
        <f>Invoerenploeg!$DH$22*Invoerenploeg!$C$1/100</f>
        <v>0</v>
      </c>
      <c r="P213" s="270">
        <f>Invoerenploeg!$DI$22</f>
      </c>
    </row>
    <row r="214" spans="1:16" ht="19.5" customHeight="1">
      <c r="A214" s="135">
        <f>Invoerenploeg!$BI$22</f>
        <v>0</v>
      </c>
      <c r="B214" s="135">
        <f>Invoerenploeg!$BG$22</f>
        <v>0</v>
      </c>
      <c r="C214" s="135">
        <f>Invoerenploeg!$BH$22</f>
        <v>0</v>
      </c>
      <c r="D214" s="126">
        <v>0.4</v>
      </c>
      <c r="E214" s="127">
        <f>Invoerenploeg!$AD$22</f>
        <v>0</v>
      </c>
      <c r="F214" s="127">
        <f>Invoerenploeg!$AE$22</f>
        <v>0</v>
      </c>
      <c r="G214" s="127">
        <f>Invoerenploeg!$AF$22</f>
        <v>0</v>
      </c>
      <c r="H214" s="128">
        <f>Invoerenploeg!$AG$22</f>
        <v>0</v>
      </c>
      <c r="I214" s="128">
        <f>Invoerenploeg!$AH$22</f>
        <v>0</v>
      </c>
      <c r="J214" s="136">
        <f>Invoerenploeg!$AJ$22</f>
        <v>0</v>
      </c>
      <c r="K214" s="137" t="s">
        <v>82</v>
      </c>
      <c r="L214" s="138" t="s">
        <v>83</v>
      </c>
      <c r="M214" s="139">
        <f>Invoerenploeg!$C$3</f>
        <v>0</v>
      </c>
      <c r="N214" s="140" t="s">
        <v>81</v>
      </c>
      <c r="O214" s="141">
        <f>Invoerenploeg!$H$22*Invoerenploeg!$C$3/100</f>
        <v>0</v>
      </c>
      <c r="P214" s="7">
        <f>Invoerenploeg!$I$22</f>
      </c>
    </row>
    <row r="215" spans="1:11" ht="19.5" customHeight="1">
      <c r="A215" s="135">
        <f>Invoerenploeg!$BL$22</f>
        <v>0</v>
      </c>
      <c r="B215" s="135">
        <f>Invoerenploeg!$BJ$22</f>
        <v>0</v>
      </c>
      <c r="C215" s="135">
        <f>Invoerenploeg!$BK$22</f>
        <v>0</v>
      </c>
      <c r="D215" s="126">
        <v>0.3</v>
      </c>
      <c r="E215" s="127">
        <f>Invoerenploeg!$AQ$22</f>
        <v>0</v>
      </c>
      <c r="F215" s="127">
        <f>Invoerenploeg!$AR$22</f>
        <v>0</v>
      </c>
      <c r="G215" s="127">
        <f>Invoerenploeg!$AS$22</f>
        <v>0</v>
      </c>
      <c r="H215" s="128">
        <f>Invoerenploeg!$AT$22</f>
        <v>0</v>
      </c>
      <c r="I215" s="128">
        <f>Invoerenploeg!$AU$22</f>
        <v>0</v>
      </c>
      <c r="J215" s="136">
        <f>Invoerenploeg!$AW$22</f>
        <v>0</v>
      </c>
      <c r="K215" s="137" t="s">
        <v>84</v>
      </c>
    </row>
    <row r="216" spans="1:10" ht="19.5" customHeight="1">
      <c r="A216" s="135">
        <f>Invoerenploeg!$BO$22</f>
        <v>0</v>
      </c>
      <c r="B216" s="135">
        <f>Invoerenploeg!$BM$22</f>
        <v>0</v>
      </c>
      <c r="C216" s="135">
        <f>Invoerenploeg!$BN$22</f>
        <v>0</v>
      </c>
      <c r="F216" s="144"/>
      <c r="G216" s="144"/>
      <c r="H216" s="145"/>
      <c r="I216" s="145"/>
      <c r="J216" s="146">
        <f>SUM(J213:J215)</f>
        <v>0</v>
      </c>
    </row>
    <row r="217" spans="1:11" ht="19.5" customHeight="1">
      <c r="A217" s="135">
        <f>Invoerenploeg!$BR$22</f>
        <v>0</v>
      </c>
      <c r="B217" s="135">
        <f>Invoerenploeg!$BP$22</f>
        <v>0</v>
      </c>
      <c r="C217" s="135">
        <f>Invoerenploeg!$BQ$22</f>
        <v>0</v>
      </c>
      <c r="F217" s="135"/>
      <c r="G217" s="135"/>
      <c r="H217" s="147"/>
      <c r="I217" s="148" t="s">
        <v>85</v>
      </c>
      <c r="J217" s="149">
        <f>Invoerenploeg!$BA$22</f>
        <v>0</v>
      </c>
      <c r="K217" s="137" t="s">
        <v>86</v>
      </c>
    </row>
    <row r="218" spans="1:16" ht="19.5" customHeight="1">
      <c r="A218" s="135">
        <f>Invoerenploeg!$BU$22</f>
        <v>0</v>
      </c>
      <c r="B218" s="135">
        <f>Invoerenploeg!$BS$22</f>
        <v>0</v>
      </c>
      <c r="C218" s="135">
        <f>Invoerenploeg!$BT$22</f>
        <v>0</v>
      </c>
      <c r="F218" s="135"/>
      <c r="G218" s="135"/>
      <c r="H218" s="147"/>
      <c r="I218" s="148" t="s">
        <v>5</v>
      </c>
      <c r="J218" s="152">
        <f>Invoerenploeg!$BB$22</f>
        <v>0</v>
      </c>
      <c r="L218" s="142" t="s">
        <v>95</v>
      </c>
      <c r="M218" s="142">
        <f>Invoerenploeg!$C$2</f>
        <v>50</v>
      </c>
      <c r="N218" s="153" t="s">
        <v>81</v>
      </c>
      <c r="O218" s="154">
        <f>Invoerenploeg!$BD$22</f>
        <v>0</v>
      </c>
      <c r="P218" s="7">
        <f>Invoerenploeg!$K$22</f>
      </c>
    </row>
    <row r="219" spans="1:16" ht="19.5" customHeight="1">
      <c r="A219" s="135">
        <f>Invoerenploeg!$BX$22</f>
        <v>0</v>
      </c>
      <c r="B219" s="135">
        <f>Invoerenploeg!$BV$22</f>
        <v>0</v>
      </c>
      <c r="C219" s="135">
        <f>Invoerenploeg!$BW$22</f>
        <v>0</v>
      </c>
      <c r="F219" s="135"/>
      <c r="G219" s="135"/>
      <c r="H219" s="155">
        <f>Invoerenploeg!$F$22</f>
        <v>0</v>
      </c>
      <c r="J219" s="152"/>
      <c r="L219" s="156" t="s">
        <v>17</v>
      </c>
      <c r="N219" s="142"/>
      <c r="O219" s="143">
        <f>Invoerenploeg!$C$22</f>
        <v>0</v>
      </c>
      <c r="P219" s="157"/>
    </row>
    <row r="220" spans="1:10" ht="19.5" customHeight="1">
      <c r="A220" s="135">
        <f>Invoerenploeg!$CA$22</f>
        <v>0</v>
      </c>
      <c r="B220" s="135">
        <f>Invoerenploeg!$BY$22</f>
        <v>0</v>
      </c>
      <c r="C220" s="135">
        <f>Invoerenploeg!$BZ$22</f>
        <v>0</v>
      </c>
      <c r="F220" s="135"/>
      <c r="G220" s="135"/>
      <c r="H220" s="147"/>
      <c r="I220" s="156"/>
      <c r="J220" s="152"/>
    </row>
    <row r="221" spans="1:13" ht="19.5" customHeight="1">
      <c r="A221" s="135">
        <f>Invoerenploeg!$CD$22</f>
        <v>0</v>
      </c>
      <c r="B221" s="135">
        <f>Invoerenploeg!$CB$22</f>
        <v>0</v>
      </c>
      <c r="C221" s="135">
        <f>Invoerenploeg!$CC$22</f>
        <v>0</v>
      </c>
      <c r="D221" s="135" t="s">
        <v>19</v>
      </c>
      <c r="E221" s="96"/>
      <c r="F221" s="96"/>
      <c r="G221" s="135">
        <f>Invoerenploeg!$CK$22</f>
        <v>0</v>
      </c>
      <c r="H221" s="96"/>
      <c r="I221" s="96"/>
      <c r="J221" s="96"/>
      <c r="K221" s="96"/>
      <c r="L221" s="96"/>
      <c r="M221" s="96"/>
    </row>
    <row r="222" spans="1:13" ht="19.5" customHeight="1">
      <c r="A222" s="135">
        <f>Invoerenploeg!$CG$22</f>
        <v>0</v>
      </c>
      <c r="B222" s="135">
        <f>Invoerenploeg!$CE$22</f>
        <v>0</v>
      </c>
      <c r="C222" s="135">
        <f>Invoerenploeg!$CF$22</f>
        <v>0</v>
      </c>
      <c r="D222" s="135" t="s">
        <v>20</v>
      </c>
      <c r="E222" s="96"/>
      <c r="F222" s="96"/>
      <c r="G222" s="135">
        <f>Invoerenploeg!$CL$22</f>
        <v>0</v>
      </c>
      <c r="H222" s="96"/>
      <c r="I222" s="96"/>
      <c r="J222" s="96"/>
      <c r="K222" s="96"/>
      <c r="L222" s="96"/>
      <c r="M222" s="96"/>
    </row>
    <row r="223" spans="1:10" ht="19.5" customHeight="1">
      <c r="A223" s="135">
        <f>Invoerenploeg!$CJ$22</f>
        <v>0</v>
      </c>
      <c r="B223" s="135">
        <f>Invoerenploeg!$CH$22</f>
        <v>0</v>
      </c>
      <c r="C223" s="135">
        <f>Invoerenploeg!$CI$22</f>
        <v>0</v>
      </c>
      <c r="F223" s="135"/>
      <c r="G223" s="135"/>
      <c r="H223" s="147"/>
      <c r="I223" s="156"/>
      <c r="J223" s="152"/>
    </row>
    <row r="224" ht="3" customHeight="1"/>
    <row r="225" spans="1:16" ht="19.5" customHeight="1">
      <c r="A225" s="155">
        <f>Invoerenploeg!$B$23</f>
        <v>4</v>
      </c>
      <c r="B225" s="161">
        <f>Invoerenploeg!$D$23</f>
        <v>0</v>
      </c>
      <c r="C225" s="125">
        <f>Invoerenploeg!$E$23</f>
        <v>0</v>
      </c>
      <c r="D225" s="268">
        <v>0.3</v>
      </c>
      <c r="E225" s="162">
        <f>Invoerenploeg!$Q$23</f>
        <v>0</v>
      </c>
      <c r="F225" s="162">
        <f>Invoerenploeg!$R$23</f>
        <v>0</v>
      </c>
      <c r="G225" s="162">
        <f>Invoerenploeg!$S$23</f>
        <v>0</v>
      </c>
      <c r="H225" s="163">
        <f>Invoerenploeg!$T$23</f>
        <v>0</v>
      </c>
      <c r="I225" s="163">
        <f>Invoerenploeg!$U$23</f>
        <v>0</v>
      </c>
      <c r="J225" s="136">
        <f>Invoerenploeg!$W$23</f>
        <v>0</v>
      </c>
      <c r="K225" s="130" t="s">
        <v>79</v>
      </c>
      <c r="L225" s="164" t="s">
        <v>80</v>
      </c>
      <c r="M225" s="165">
        <f>Invoerenploeg!$C$1</f>
        <v>50</v>
      </c>
      <c r="N225" s="166" t="s">
        <v>81</v>
      </c>
      <c r="O225" s="167">
        <f>Invoerenploeg!$DH$23*Invoerenploeg!$C$1/100</f>
        <v>0</v>
      </c>
      <c r="P225" s="270">
        <f>Invoerenploeg!$DI$23</f>
      </c>
    </row>
    <row r="226" spans="1:16" ht="19.5" customHeight="1">
      <c r="A226" s="135">
        <f>Invoerenploeg!$BI$23</f>
        <v>0</v>
      </c>
      <c r="B226" s="135">
        <f>Invoerenploeg!$BG$23</f>
        <v>0</v>
      </c>
      <c r="C226" s="135">
        <f>Invoerenploeg!$BH$23</f>
        <v>0</v>
      </c>
      <c r="D226" s="126">
        <v>0.4</v>
      </c>
      <c r="E226" s="127">
        <f>Invoerenploeg!$AD$23</f>
        <v>0</v>
      </c>
      <c r="F226" s="127">
        <f>Invoerenploeg!$AE$23</f>
        <v>0</v>
      </c>
      <c r="G226" s="127">
        <f>Invoerenploeg!$AF$23</f>
        <v>0</v>
      </c>
      <c r="H226" s="128">
        <f>Invoerenploeg!$AG$23</f>
        <v>0</v>
      </c>
      <c r="I226" s="128">
        <f>Invoerenploeg!$AH$23</f>
        <v>0</v>
      </c>
      <c r="J226" s="136">
        <f>Invoerenploeg!$AJ$23</f>
        <v>0</v>
      </c>
      <c r="K226" s="137" t="s">
        <v>82</v>
      </c>
      <c r="L226" s="138" t="s">
        <v>83</v>
      </c>
      <c r="M226" s="139">
        <f>Invoerenploeg!$C$3</f>
        <v>0</v>
      </c>
      <c r="N226" s="140" t="s">
        <v>81</v>
      </c>
      <c r="O226" s="141">
        <f>Invoerenploeg!$H$23*Invoerenploeg!$C$3/100</f>
        <v>0</v>
      </c>
      <c r="P226" s="7">
        <f>Invoerenploeg!$I$23</f>
      </c>
    </row>
    <row r="227" spans="1:11" ht="19.5" customHeight="1">
      <c r="A227" s="135">
        <f>Invoerenploeg!$BL$23</f>
        <v>0</v>
      </c>
      <c r="B227" s="135">
        <f>Invoerenploeg!$BJ$23</f>
        <v>0</v>
      </c>
      <c r="C227" s="135">
        <f>Invoerenploeg!$BK$23</f>
        <v>0</v>
      </c>
      <c r="D227" s="126">
        <v>0.3</v>
      </c>
      <c r="E227" s="127">
        <f>Invoerenploeg!$AQ$23</f>
        <v>0</v>
      </c>
      <c r="F227" s="127">
        <f>Invoerenploeg!$AR$23</f>
        <v>0</v>
      </c>
      <c r="G227" s="127">
        <f>Invoerenploeg!$AS$23</f>
        <v>0</v>
      </c>
      <c r="H227" s="128">
        <f>Invoerenploeg!$AT$23</f>
        <v>0</v>
      </c>
      <c r="I227" s="128">
        <f>Invoerenploeg!$AU$23</f>
        <v>0</v>
      </c>
      <c r="J227" s="136">
        <f>Invoerenploeg!$AW$23</f>
        <v>0</v>
      </c>
      <c r="K227" s="137" t="s">
        <v>84</v>
      </c>
    </row>
    <row r="228" spans="1:10" ht="19.5" customHeight="1">
      <c r="A228" s="135">
        <f>Invoerenploeg!$BO$23</f>
        <v>0</v>
      </c>
      <c r="B228" s="135">
        <f>Invoerenploeg!$BM$23</f>
        <v>0</v>
      </c>
      <c r="C228" s="135">
        <f>Invoerenploeg!$BN$23</f>
        <v>0</v>
      </c>
      <c r="F228" s="144"/>
      <c r="G228" s="144"/>
      <c r="H228" s="145"/>
      <c r="I228" s="145"/>
      <c r="J228" s="146">
        <f>SUM(J225:J227)</f>
        <v>0</v>
      </c>
    </row>
    <row r="229" spans="1:11" ht="19.5" customHeight="1">
      <c r="A229" s="135">
        <f>Invoerenploeg!$BR$23</f>
        <v>0</v>
      </c>
      <c r="B229" s="135">
        <f>Invoerenploeg!$BP$23</f>
        <v>0</v>
      </c>
      <c r="C229" s="135">
        <f>Invoerenploeg!$BQ$23</f>
        <v>0</v>
      </c>
      <c r="F229" s="135"/>
      <c r="G229" s="135"/>
      <c r="H229" s="147"/>
      <c r="I229" s="148" t="s">
        <v>85</v>
      </c>
      <c r="J229" s="149">
        <f>Invoerenploeg!$BA$23</f>
        <v>0</v>
      </c>
      <c r="K229" s="137" t="s">
        <v>86</v>
      </c>
    </row>
    <row r="230" spans="1:16" ht="19.5" customHeight="1">
      <c r="A230" s="135">
        <f>Invoerenploeg!$BU$23</f>
        <v>0</v>
      </c>
      <c r="B230" s="135">
        <f>Invoerenploeg!$BS$23</f>
        <v>0</v>
      </c>
      <c r="C230" s="135">
        <f>Invoerenploeg!$BT$23</f>
        <v>0</v>
      </c>
      <c r="F230" s="135"/>
      <c r="G230" s="135"/>
      <c r="H230" s="147"/>
      <c r="I230" s="148" t="s">
        <v>5</v>
      </c>
      <c r="J230" s="152">
        <f>Invoerenploeg!$BB$23</f>
        <v>0</v>
      </c>
      <c r="L230" s="142" t="s">
        <v>95</v>
      </c>
      <c r="M230" s="142">
        <f>Invoerenploeg!$C$2</f>
        <v>50</v>
      </c>
      <c r="N230" s="153" t="s">
        <v>81</v>
      </c>
      <c r="O230" s="154">
        <f>Invoerenploeg!$BD$23</f>
        <v>0</v>
      </c>
      <c r="P230" s="7">
        <f>Invoerenploeg!$K$23</f>
      </c>
    </row>
    <row r="231" spans="1:16" ht="19.5" customHeight="1">
      <c r="A231" s="135">
        <f>Invoerenploeg!$BX$23</f>
        <v>0</v>
      </c>
      <c r="B231" s="135">
        <f>Invoerenploeg!$BV$23</f>
        <v>0</v>
      </c>
      <c r="C231" s="135">
        <f>Invoerenploeg!$BW$23</f>
        <v>0</v>
      </c>
      <c r="F231" s="135"/>
      <c r="G231" s="135"/>
      <c r="H231" s="155">
        <f>Invoerenploeg!$F$23</f>
        <v>0</v>
      </c>
      <c r="J231" s="152"/>
      <c r="L231" s="156" t="s">
        <v>17</v>
      </c>
      <c r="N231" s="142"/>
      <c r="O231" s="143">
        <f>Invoerenploeg!$C$23</f>
        <v>0</v>
      </c>
      <c r="P231" s="157"/>
    </row>
    <row r="232" spans="1:10" ht="19.5" customHeight="1">
      <c r="A232" s="135">
        <f>Invoerenploeg!$CA$23</f>
        <v>0</v>
      </c>
      <c r="B232" s="135">
        <f>Invoerenploeg!$BY$23</f>
        <v>0</v>
      </c>
      <c r="C232" s="135">
        <f>Invoerenploeg!$BZ$23</f>
        <v>0</v>
      </c>
      <c r="F232" s="135"/>
      <c r="G232" s="135"/>
      <c r="H232" s="147"/>
      <c r="I232" s="156"/>
      <c r="J232" s="152"/>
    </row>
    <row r="233" spans="1:13" ht="19.5" customHeight="1">
      <c r="A233" s="135">
        <f>Invoerenploeg!$CD$23</f>
        <v>0</v>
      </c>
      <c r="B233" s="135">
        <f>Invoerenploeg!$CB$23</f>
        <v>0</v>
      </c>
      <c r="C233" s="135">
        <f>Invoerenploeg!$CC$23</f>
        <v>0</v>
      </c>
      <c r="D233" s="135" t="s">
        <v>19</v>
      </c>
      <c r="E233" s="96"/>
      <c r="F233" s="96"/>
      <c r="G233" s="135">
        <f>Invoerenploeg!$CK$23</f>
        <v>0</v>
      </c>
      <c r="H233" s="96"/>
      <c r="I233" s="96"/>
      <c r="J233" s="96"/>
      <c r="K233" s="96"/>
      <c r="L233" s="96"/>
      <c r="M233" s="96"/>
    </row>
    <row r="234" spans="1:13" ht="19.5" customHeight="1">
      <c r="A234" s="135">
        <f>Invoerenploeg!$CG$23</f>
        <v>0</v>
      </c>
      <c r="B234" s="135">
        <f>Invoerenploeg!$CE$23</f>
        <v>0</v>
      </c>
      <c r="C234" s="135">
        <f>Invoerenploeg!$CF$23</f>
        <v>0</v>
      </c>
      <c r="D234" s="135" t="s">
        <v>20</v>
      </c>
      <c r="E234" s="96"/>
      <c r="F234" s="96"/>
      <c r="G234" s="135">
        <f>Invoerenploeg!$CL$23</f>
        <v>0</v>
      </c>
      <c r="H234" s="96"/>
      <c r="I234" s="96"/>
      <c r="J234" s="96"/>
      <c r="K234" s="96"/>
      <c r="L234" s="96"/>
      <c r="M234" s="96"/>
    </row>
    <row r="235" spans="1:10" ht="19.5" customHeight="1">
      <c r="A235" s="135">
        <f>Invoerenploeg!$CJ$23</f>
        <v>0</v>
      </c>
      <c r="B235" s="135">
        <f>Invoerenploeg!$CH$23</f>
        <v>0</v>
      </c>
      <c r="C235" s="135">
        <f>Invoerenploeg!$CI$23</f>
        <v>0</v>
      </c>
      <c r="F235" s="135"/>
      <c r="G235" s="135"/>
      <c r="H235" s="147"/>
      <c r="I235" s="156"/>
      <c r="J235" s="152"/>
    </row>
    <row r="236" ht="3" customHeight="1"/>
    <row r="237" spans="1:16" ht="19.5" customHeight="1">
      <c r="A237" s="155">
        <f>Invoerenploeg!$B$24</f>
        <v>4</v>
      </c>
      <c r="B237" s="161">
        <f>Invoerenploeg!$D$24</f>
        <v>0</v>
      </c>
      <c r="C237" s="125">
        <f>Invoerenploeg!$E$24</f>
        <v>0</v>
      </c>
      <c r="D237" s="268">
        <v>0.3</v>
      </c>
      <c r="E237" s="162">
        <f>Invoerenploeg!$Q$24</f>
        <v>0</v>
      </c>
      <c r="F237" s="162">
        <f>Invoerenploeg!$R$24</f>
        <v>0</v>
      </c>
      <c r="G237" s="162">
        <f>Invoerenploeg!$S$24</f>
        <v>0</v>
      </c>
      <c r="H237" s="163">
        <f>Invoerenploeg!$T$24</f>
        <v>0</v>
      </c>
      <c r="I237" s="163">
        <f>Invoerenploeg!$U$24</f>
        <v>0</v>
      </c>
      <c r="J237" s="136">
        <f>Invoerenploeg!$W$24</f>
        <v>0</v>
      </c>
      <c r="K237" s="130" t="s">
        <v>79</v>
      </c>
      <c r="L237" s="164" t="s">
        <v>80</v>
      </c>
      <c r="M237" s="165">
        <f>Invoerenploeg!$C$1</f>
        <v>50</v>
      </c>
      <c r="N237" s="166" t="s">
        <v>81</v>
      </c>
      <c r="O237" s="167">
        <f>Invoerenploeg!$DH$24*Invoerenploeg!$C$1/100</f>
        <v>0</v>
      </c>
      <c r="P237" s="270">
        <f>Invoerenploeg!$DI$24</f>
      </c>
    </row>
    <row r="238" spans="1:16" ht="19.5" customHeight="1">
      <c r="A238" s="135">
        <f>Invoerenploeg!$BI$24</f>
        <v>0</v>
      </c>
      <c r="B238" s="135">
        <f>Invoerenploeg!$BG$24</f>
        <v>0</v>
      </c>
      <c r="C238" s="135">
        <f>Invoerenploeg!$BH$24</f>
        <v>0</v>
      </c>
      <c r="D238" s="126">
        <v>0.4</v>
      </c>
      <c r="E238" s="127">
        <f>Invoerenploeg!$AD$24</f>
        <v>0</v>
      </c>
      <c r="F238" s="127">
        <f>Invoerenploeg!$AE$24</f>
        <v>0</v>
      </c>
      <c r="G238" s="127">
        <f>Invoerenploeg!$AF$24</f>
        <v>0</v>
      </c>
      <c r="H238" s="128">
        <f>Invoerenploeg!$AG$24</f>
        <v>0</v>
      </c>
      <c r="I238" s="128">
        <f>Invoerenploeg!$AH$24</f>
        <v>0</v>
      </c>
      <c r="J238" s="136">
        <f>Invoerenploeg!$AJ$24</f>
        <v>0</v>
      </c>
      <c r="K238" s="137" t="s">
        <v>82</v>
      </c>
      <c r="L238" s="138" t="s">
        <v>83</v>
      </c>
      <c r="M238" s="139">
        <f>Invoerenploeg!$C$3</f>
        <v>0</v>
      </c>
      <c r="N238" s="140" t="s">
        <v>81</v>
      </c>
      <c r="O238" s="141">
        <f>Invoerenploeg!$H$24*Invoerenploeg!$C$3/100</f>
        <v>0</v>
      </c>
      <c r="P238" s="7">
        <f>Invoerenploeg!$I$24</f>
      </c>
    </row>
    <row r="239" spans="1:11" ht="19.5" customHeight="1">
      <c r="A239" s="135">
        <f>Invoerenploeg!$BL$24</f>
        <v>0</v>
      </c>
      <c r="B239" s="135">
        <f>Invoerenploeg!$BJ$24</f>
        <v>0</v>
      </c>
      <c r="C239" s="135">
        <f>Invoerenploeg!$BK$24</f>
        <v>0</v>
      </c>
      <c r="D239" s="126">
        <v>0.3</v>
      </c>
      <c r="E239" s="127">
        <f>Invoerenploeg!$AQ$24</f>
        <v>0</v>
      </c>
      <c r="F239" s="127">
        <f>Invoerenploeg!$AR$24</f>
        <v>0</v>
      </c>
      <c r="G239" s="127">
        <f>Invoerenploeg!$AS$24</f>
        <v>0</v>
      </c>
      <c r="H239" s="128">
        <f>Invoerenploeg!$AT$24</f>
        <v>0</v>
      </c>
      <c r="I239" s="128">
        <f>Invoerenploeg!$AU$24</f>
        <v>0</v>
      </c>
      <c r="J239" s="136">
        <f>Invoerenploeg!$AW$24</f>
        <v>0</v>
      </c>
      <c r="K239" s="137" t="s">
        <v>84</v>
      </c>
    </row>
    <row r="240" spans="1:10" ht="19.5" customHeight="1">
      <c r="A240" s="135">
        <f>Invoerenploeg!$BO$24</f>
        <v>0</v>
      </c>
      <c r="B240" s="135">
        <f>Invoerenploeg!$BM$24</f>
        <v>0</v>
      </c>
      <c r="C240" s="135">
        <f>Invoerenploeg!$BN$24</f>
        <v>0</v>
      </c>
      <c r="F240" s="144"/>
      <c r="G240" s="144"/>
      <c r="H240" s="145"/>
      <c r="I240" s="145"/>
      <c r="J240" s="146">
        <f>SUM(J237:J239)</f>
        <v>0</v>
      </c>
    </row>
    <row r="241" spans="1:11" ht="19.5" customHeight="1">
      <c r="A241" s="135">
        <f>Invoerenploeg!$BR$24</f>
        <v>0</v>
      </c>
      <c r="B241" s="135">
        <f>Invoerenploeg!$BP$24</f>
        <v>0</v>
      </c>
      <c r="C241" s="135">
        <f>Invoerenploeg!$BQ$24</f>
        <v>0</v>
      </c>
      <c r="F241" s="135"/>
      <c r="G241" s="135"/>
      <c r="H241" s="147"/>
      <c r="I241" s="148" t="s">
        <v>85</v>
      </c>
      <c r="J241" s="149">
        <f>Invoerenploeg!$BA$24</f>
        <v>0</v>
      </c>
      <c r="K241" s="137" t="s">
        <v>86</v>
      </c>
    </row>
    <row r="242" spans="1:16" ht="19.5" customHeight="1">
      <c r="A242" s="135">
        <f>Invoerenploeg!$BU$24</f>
        <v>0</v>
      </c>
      <c r="B242" s="135">
        <f>Invoerenploeg!$BS$24</f>
        <v>0</v>
      </c>
      <c r="C242" s="135">
        <f>Invoerenploeg!$BT$24</f>
        <v>0</v>
      </c>
      <c r="F242" s="135"/>
      <c r="G242" s="135"/>
      <c r="H242" s="147"/>
      <c r="I242" s="148" t="s">
        <v>5</v>
      </c>
      <c r="J242" s="152">
        <f>Invoerenploeg!$BB$24</f>
        <v>0</v>
      </c>
      <c r="L242" s="142" t="s">
        <v>95</v>
      </c>
      <c r="M242" s="142">
        <f>Invoerenploeg!$C$2</f>
        <v>50</v>
      </c>
      <c r="N242" s="153" t="s">
        <v>81</v>
      </c>
      <c r="O242" s="154">
        <f>Invoerenploeg!$BD$24</f>
        <v>0</v>
      </c>
      <c r="P242" s="7">
        <f>Invoerenploeg!$K$24</f>
      </c>
    </row>
    <row r="243" spans="1:16" ht="19.5" customHeight="1">
      <c r="A243" s="135">
        <f>Invoerenploeg!$BX$24</f>
        <v>0</v>
      </c>
      <c r="B243" s="135">
        <f>Invoerenploeg!$BV$24</f>
        <v>0</v>
      </c>
      <c r="C243" s="135">
        <f>Invoerenploeg!$BW$24</f>
        <v>0</v>
      </c>
      <c r="F243" s="135"/>
      <c r="G243" s="135"/>
      <c r="H243" s="155">
        <f>Invoerenploeg!$F$24</f>
        <v>0</v>
      </c>
      <c r="J243" s="152"/>
      <c r="L243" s="156" t="s">
        <v>17</v>
      </c>
      <c r="N243" s="142"/>
      <c r="O243" s="143">
        <f>Invoerenploeg!$C$24</f>
        <v>0</v>
      </c>
      <c r="P243" s="157"/>
    </row>
    <row r="244" spans="1:10" ht="19.5" customHeight="1">
      <c r="A244" s="135">
        <f>Invoerenploeg!$CA$24</f>
        <v>0</v>
      </c>
      <c r="B244" s="135">
        <f>Invoerenploeg!$BY$24</f>
        <v>0</v>
      </c>
      <c r="C244" s="135">
        <f>Invoerenploeg!$BZ$24</f>
        <v>0</v>
      </c>
      <c r="F244" s="135"/>
      <c r="G244" s="135"/>
      <c r="H244" s="147"/>
      <c r="I244" s="156"/>
      <c r="J244" s="152"/>
    </row>
    <row r="245" spans="1:13" ht="19.5" customHeight="1">
      <c r="A245" s="135">
        <f>Invoerenploeg!$CD$24</f>
        <v>0</v>
      </c>
      <c r="B245" s="135">
        <f>Invoerenploeg!$CB$24</f>
        <v>0</v>
      </c>
      <c r="C245" s="135">
        <f>Invoerenploeg!$CC$24</f>
        <v>0</v>
      </c>
      <c r="D245" s="135" t="s">
        <v>19</v>
      </c>
      <c r="E245" s="96"/>
      <c r="F245" s="96"/>
      <c r="G245" s="135">
        <f>Invoerenploeg!$CK$24</f>
        <v>0</v>
      </c>
      <c r="H245" s="96"/>
      <c r="I245" s="96"/>
      <c r="J245" s="96"/>
      <c r="K245" s="96"/>
      <c r="L245" s="96"/>
      <c r="M245" s="96"/>
    </row>
    <row r="246" spans="1:13" ht="19.5" customHeight="1">
      <c r="A246" s="135">
        <f>Invoerenploeg!$CG$24</f>
        <v>0</v>
      </c>
      <c r="B246" s="135">
        <f>Invoerenploeg!$CE$24</f>
        <v>0</v>
      </c>
      <c r="C246" s="135">
        <f>Invoerenploeg!$CF$24</f>
        <v>0</v>
      </c>
      <c r="D246" s="135" t="s">
        <v>20</v>
      </c>
      <c r="E246" s="96"/>
      <c r="F246" s="96"/>
      <c r="G246" s="135">
        <f>Invoerenploeg!$CL$24</f>
        <v>0</v>
      </c>
      <c r="H246" s="96"/>
      <c r="I246" s="96"/>
      <c r="J246" s="96"/>
      <c r="K246" s="96"/>
      <c r="L246" s="96"/>
      <c r="M246" s="96"/>
    </row>
    <row r="247" spans="1:10" ht="19.5" customHeight="1">
      <c r="A247" s="135">
        <f>Invoerenploeg!$CJ$24</f>
        <v>0</v>
      </c>
      <c r="B247" s="135">
        <f>Invoerenploeg!$CH$24</f>
        <v>0</v>
      </c>
      <c r="C247" s="135">
        <f>Invoerenploeg!$CI$24</f>
        <v>0</v>
      </c>
      <c r="F247" s="135"/>
      <c r="G247" s="135"/>
      <c r="H247" s="147"/>
      <c r="I247" s="156"/>
      <c r="J247" s="152"/>
    </row>
  </sheetData>
  <sheetProtection selectLockedCells="1" selectUnlockedCells="1"/>
  <mergeCells count="4">
    <mergeCell ref="J1:K1"/>
    <mergeCell ref="L1:N1"/>
    <mergeCell ref="J2:K2"/>
    <mergeCell ref="L2:N2"/>
  </mergeCells>
  <printOptions/>
  <pageMargins left="0.19652777777777777" right="0.19652777777777777" top="0.5902777777777778" bottom="0.5902777777777777" header="0.5118055555555555" footer="0.5118055555555555"/>
  <pageSetup horizontalDpi="300" verticalDpi="300" orientation="portrait" paperSize="9" scale="80" r:id="rId1"/>
  <headerFooter alignWithMargins="0">
    <oddFooter>&amp;L&amp;8&amp;P/&amp;N&amp;R&amp;8&amp;A</oddFooter>
  </headerFooter>
  <rowBreaks count="2" manualBreakCount="2">
    <brk id="56" max="255" man="1"/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T42"/>
  <sheetViews>
    <sheetView showZeros="0" view="pageBreakPreview" zoomScaleNormal="110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7" width="6.25390625" style="190" customWidth="1"/>
    <col min="18" max="18" width="5.25390625" style="190" customWidth="1"/>
    <col min="19" max="16384" width="9.125" style="190" customWidth="1"/>
  </cols>
  <sheetData>
    <row r="1" spans="1:18" ht="47.25" customHeight="1">
      <c r="A1" s="191" t="s">
        <v>96</v>
      </c>
      <c r="P1" s="420"/>
      <c r="Q1" s="420"/>
      <c r="R1" s="192"/>
    </row>
    <row r="2" spans="1:16" ht="20.25">
      <c r="A2" s="193" t="s">
        <v>97</v>
      </c>
      <c r="M2" s="415" t="s">
        <v>98</v>
      </c>
      <c r="N2" s="415"/>
      <c r="O2" s="430">
        <v>1</v>
      </c>
      <c r="P2" s="430"/>
    </row>
    <row r="3" spans="1:17" ht="15" customHeight="1">
      <c r="A3" s="194" t="s">
        <v>99</v>
      </c>
      <c r="B3" s="195"/>
      <c r="C3" s="419" t="str">
        <f>'Startlijst ploeg'!B1</f>
        <v>LSZK-A</v>
      </c>
      <c r="D3" s="419"/>
      <c r="E3" s="419"/>
      <c r="F3" s="419"/>
      <c r="G3" s="419"/>
      <c r="H3" s="419"/>
      <c r="I3" s="419"/>
      <c r="J3" s="419"/>
      <c r="K3" s="419"/>
      <c r="L3" s="419"/>
      <c r="M3" s="415" t="s">
        <v>100</v>
      </c>
      <c r="N3" s="415"/>
      <c r="O3" s="401" t="s">
        <v>64</v>
      </c>
      <c r="P3" s="401"/>
      <c r="Q3" s="196"/>
    </row>
    <row r="4" spans="1:17" ht="15" customHeight="1">
      <c r="A4" s="416" t="s">
        <v>101</v>
      </c>
      <c r="B4" s="416"/>
      <c r="C4" s="419" t="str">
        <f>'Startlijst ploeg'!D2</f>
        <v>Zwembad: De Sprank te Venray</v>
      </c>
      <c r="D4" s="419"/>
      <c r="E4" s="419"/>
      <c r="F4" s="419"/>
      <c r="G4" s="419"/>
      <c r="H4" s="419"/>
      <c r="I4" s="419"/>
      <c r="J4" s="419"/>
      <c r="K4" s="419"/>
      <c r="L4" s="419"/>
      <c r="M4" s="415" t="s">
        <v>102</v>
      </c>
      <c r="N4" s="415"/>
      <c r="O4" s="401"/>
      <c r="P4" s="401"/>
      <c r="Q4" s="196"/>
    </row>
    <row r="5" spans="1:17" ht="15" customHeight="1">
      <c r="A5" s="194" t="s">
        <v>66</v>
      </c>
      <c r="B5" s="195"/>
      <c r="C5" s="417">
        <f>'Startlijst ploeg'!N1</f>
        <v>41805</v>
      </c>
      <c r="D5" s="417"/>
      <c r="E5" s="417"/>
      <c r="F5" s="417"/>
      <c r="G5" s="417"/>
      <c r="H5" s="417"/>
      <c r="I5" s="417"/>
      <c r="J5" s="417"/>
      <c r="K5" s="417"/>
      <c r="L5" s="417"/>
      <c r="M5" s="415" t="s">
        <v>103</v>
      </c>
      <c r="N5" s="415"/>
      <c r="O5" s="401"/>
      <c r="P5" s="401"/>
      <c r="Q5" s="196"/>
    </row>
    <row r="6" spans="1:16" ht="15" customHeight="1">
      <c r="A6" s="416" t="s">
        <v>105</v>
      </c>
      <c r="B6" s="416"/>
      <c r="C6" s="428" t="str">
        <f>VLOOKUP($O$2,Invoerenploeg!$A$4:$EA$33,4,FALSE)</f>
        <v>HZPC Horst</v>
      </c>
      <c r="D6" s="428"/>
      <c r="E6" s="428"/>
      <c r="F6" s="428"/>
      <c r="G6" s="428"/>
      <c r="H6" s="428"/>
      <c r="I6" s="254"/>
      <c r="J6" s="254"/>
      <c r="K6" s="254"/>
      <c r="L6" s="254"/>
      <c r="M6" s="415" t="s">
        <v>106</v>
      </c>
      <c r="N6" s="415"/>
      <c r="O6" s="429"/>
      <c r="P6" s="429"/>
    </row>
    <row r="7" spans="1:16" ht="15" customHeight="1">
      <c r="A7" s="194" t="s">
        <v>107</v>
      </c>
      <c r="B7" s="195"/>
      <c r="C7" s="198"/>
      <c r="D7" s="199"/>
      <c r="E7" s="200"/>
      <c r="F7" s="201"/>
      <c r="G7" s="201"/>
      <c r="H7" s="201"/>
      <c r="I7" s="201" t="s">
        <v>64</v>
      </c>
      <c r="J7" s="197" t="s">
        <v>108</v>
      </c>
      <c r="K7" s="418" t="str">
        <f>VLOOKUP($O$2,Invoerenploeg!$A$4:$EA$33,5,FALSE)</f>
        <v>Limburg</v>
      </c>
      <c r="L7" s="418"/>
      <c r="M7" s="415" t="s">
        <v>109</v>
      </c>
      <c r="N7" s="415"/>
      <c r="O7" s="401" t="s">
        <v>104</v>
      </c>
      <c r="P7" s="401"/>
    </row>
    <row r="8" spans="1:16" ht="15" customHeight="1">
      <c r="A8" s="414" t="s">
        <v>110</v>
      </c>
      <c r="B8" s="414"/>
      <c r="C8" s="202" t="str">
        <f>VLOOKUP($O$2,Invoerenploeg!$A$4:$EA$33,89,FALSE)</f>
        <v>Red Hot</v>
      </c>
      <c r="D8" s="202"/>
      <c r="E8" s="202"/>
      <c r="F8" s="202"/>
      <c r="G8" s="202"/>
      <c r="H8" s="202"/>
      <c r="I8" s="202"/>
      <c r="J8" s="202"/>
      <c r="K8" s="203"/>
      <c r="M8" s="415" t="s">
        <v>111</v>
      </c>
      <c r="N8" s="415"/>
      <c r="O8" s="401"/>
      <c r="P8" s="401"/>
    </row>
    <row r="9" spans="1:16" ht="15" customHeight="1">
      <c r="A9" s="414" t="s">
        <v>112</v>
      </c>
      <c r="B9" s="414"/>
      <c r="C9" s="202" t="str">
        <f>VLOOKUP($O$2,Invoerenploeg!$A$4:$EA$33,90,FALSE)</f>
        <v>Sophie en Mieke</v>
      </c>
      <c r="D9" s="202"/>
      <c r="E9" s="202"/>
      <c r="F9" s="202"/>
      <c r="G9" s="202"/>
      <c r="H9" s="202"/>
      <c r="I9" s="202"/>
      <c r="J9" s="202"/>
      <c r="K9" s="203"/>
      <c r="M9" s="415" t="s">
        <v>113</v>
      </c>
      <c r="N9" s="415"/>
      <c r="O9" s="401"/>
      <c r="P9" s="401"/>
    </row>
    <row r="10" spans="1:20" ht="15" customHeight="1">
      <c r="A10" s="194" t="s">
        <v>64</v>
      </c>
      <c r="B10" s="195"/>
      <c r="C10" s="407" t="s">
        <v>64</v>
      </c>
      <c r="D10" s="407"/>
      <c r="E10" s="407"/>
      <c r="F10" s="407"/>
      <c r="G10" s="407"/>
      <c r="H10" s="407"/>
      <c r="I10" s="407"/>
      <c r="J10" s="407"/>
      <c r="K10" s="204" t="s">
        <v>64</v>
      </c>
      <c r="L10" s="204" t="s">
        <v>64</v>
      </c>
      <c r="M10" s="408" t="s">
        <v>64</v>
      </c>
      <c r="N10" s="408"/>
      <c r="O10" s="409" t="s">
        <v>64</v>
      </c>
      <c r="P10" s="409"/>
      <c r="T10" s="190" t="s">
        <v>64</v>
      </c>
    </row>
    <row r="11" spans="1:19" ht="15" customHeight="1">
      <c r="A11" s="194"/>
      <c r="B11" s="195"/>
      <c r="C11" s="205" t="s">
        <v>114</v>
      </c>
      <c r="D11" s="410" t="s">
        <v>115</v>
      </c>
      <c r="E11" s="410"/>
      <c r="F11" s="410"/>
      <c r="G11" s="410"/>
      <c r="H11" s="410"/>
      <c r="I11" s="410"/>
      <c r="J11" s="410"/>
      <c r="K11" s="411" t="s">
        <v>116</v>
      </c>
      <c r="L11" s="411"/>
      <c r="M11" s="412" t="s">
        <v>117</v>
      </c>
      <c r="N11" s="412"/>
      <c r="O11" s="413" t="s">
        <v>118</v>
      </c>
      <c r="P11" s="413"/>
      <c r="Q11" s="206" t="s">
        <v>64</v>
      </c>
      <c r="R11" s="206"/>
      <c r="S11" s="190" t="s">
        <v>64</v>
      </c>
    </row>
    <row r="12" spans="1:18" ht="15" customHeight="1">
      <c r="A12" s="194" t="s">
        <v>119</v>
      </c>
      <c r="B12" s="195"/>
      <c r="C12" s="207">
        <v>1</v>
      </c>
      <c r="D12" s="401" t="str">
        <f>VLOOKUP($O$2,Invoerenploeg!$A$4:$EA$33,59,FALSE)</f>
        <v>Iris van Bavel</v>
      </c>
      <c r="E12" s="401"/>
      <c r="F12" s="401"/>
      <c r="G12" s="401"/>
      <c r="H12" s="401"/>
      <c r="I12" s="401"/>
      <c r="J12" s="401"/>
      <c r="K12" s="401">
        <f>VLOOKUP($O$2,Invoerenploeg!$A$4:$EA$33,60,FALSE)</f>
        <v>200201950</v>
      </c>
      <c r="L12" s="401"/>
      <c r="M12" s="402">
        <f>VLOOKUP($O$2,Invoerenploeg!$A$4:$EA$33,91,FALSE)</f>
        <v>40.04</v>
      </c>
      <c r="N12" s="402"/>
      <c r="O12" s="406">
        <f>VLOOKUP($O$2,Invoerenploeg!$A$4:$EA$33,101,FALSE)</f>
        <v>40.04</v>
      </c>
      <c r="P12" s="406"/>
      <c r="Q12" s="195"/>
      <c r="R12" s="195"/>
    </row>
    <row r="13" spans="1:18" ht="15" customHeight="1">
      <c r="A13" s="195"/>
      <c r="B13" s="195"/>
      <c r="C13" s="208">
        <v>2</v>
      </c>
      <c r="D13" s="401" t="str">
        <f>VLOOKUP($O$2,Invoerenploeg!$A$4:$EA$33,62,FALSE)</f>
        <v>Niamh Rutten</v>
      </c>
      <c r="E13" s="401"/>
      <c r="F13" s="401"/>
      <c r="G13" s="401"/>
      <c r="H13" s="401"/>
      <c r="I13" s="401"/>
      <c r="J13" s="401"/>
      <c r="K13" s="401">
        <f>VLOOKUP($O$2,Invoerenploeg!$A$4:$EA$33,63,FALSE)</f>
        <v>200201942</v>
      </c>
      <c r="L13" s="401"/>
      <c r="M13" s="402">
        <f>VLOOKUP($O$2,Invoerenploeg!$A$4:$EA$33,92,FALSE)</f>
        <v>40.0712</v>
      </c>
      <c r="N13" s="402"/>
      <c r="O13" s="403">
        <f>VLOOKUP($O$2,Invoerenploeg!$A$4:$EA$33,102,FALSE)</f>
        <v>40.0712</v>
      </c>
      <c r="P13" s="403"/>
      <c r="Q13" s="195"/>
      <c r="R13" s="195"/>
    </row>
    <row r="14" spans="1:18" ht="15" customHeight="1">
      <c r="A14" s="195"/>
      <c r="B14" s="195"/>
      <c r="C14" s="208">
        <v>3</v>
      </c>
      <c r="D14" s="401" t="str">
        <f>VLOOKUP($O$2,Invoerenploeg!$A$4:$EA$33,65,FALSE)</f>
        <v>Marit Smits</v>
      </c>
      <c r="E14" s="401"/>
      <c r="F14" s="401"/>
      <c r="G14" s="401"/>
      <c r="H14" s="401"/>
      <c r="I14" s="401"/>
      <c r="J14" s="401"/>
      <c r="K14" s="401">
        <f>VLOOKUP($O$2,Invoerenploeg!$A$4:$EA$33,66,FALSE)</f>
        <v>200204220</v>
      </c>
      <c r="L14" s="401"/>
      <c r="M14" s="402">
        <f>VLOOKUP($O$2,Invoerenploeg!$A$4:$EA$33,93,FALSE)</f>
        <v>42.9244</v>
      </c>
      <c r="N14" s="402"/>
      <c r="O14" s="403">
        <f>VLOOKUP($O$2,Invoerenploeg!$A$4:$EA$33,103,FALSE)</f>
        <v>42.9244</v>
      </c>
      <c r="P14" s="403"/>
      <c r="Q14" s="195"/>
      <c r="R14" s="195"/>
    </row>
    <row r="15" spans="1:18" ht="15" customHeight="1">
      <c r="A15" s="195"/>
      <c r="B15" s="195"/>
      <c r="C15" s="208">
        <v>4</v>
      </c>
      <c r="D15" s="401" t="str">
        <f>VLOOKUP($O$2,Invoerenploeg!$A$4:$EA$33,68,FALSE)</f>
        <v>Femke Westheim</v>
      </c>
      <c r="E15" s="401"/>
      <c r="F15" s="401"/>
      <c r="G15" s="401"/>
      <c r="H15" s="401"/>
      <c r="I15" s="401"/>
      <c r="J15" s="401"/>
      <c r="K15" s="401">
        <f>VLOOKUP($O$2,Invoerenploeg!$A$4:$EA$33,69,FALSE)</f>
        <v>200204222</v>
      </c>
      <c r="L15" s="401"/>
      <c r="M15" s="402">
        <f>VLOOKUP($O$2,Invoerenploeg!$A$4:$EA$33,94,FALSE)</f>
        <v>42.5689</v>
      </c>
      <c r="N15" s="402"/>
      <c r="O15" s="403">
        <f>VLOOKUP($O$2,Invoerenploeg!$A$4:$EA$33,104,FALSE)</f>
        <v>42.5689</v>
      </c>
      <c r="P15" s="403"/>
      <c r="Q15" s="195"/>
      <c r="R15" s="195"/>
    </row>
    <row r="16" spans="1:18" ht="15" customHeight="1">
      <c r="A16" s="195"/>
      <c r="B16" s="195"/>
      <c r="C16" s="208">
        <v>5</v>
      </c>
      <c r="D16" s="401">
        <f>VLOOKUP($O$2,Invoerenploeg!$A$4:$EA$33,71,FALSE)</f>
        <v>0</v>
      </c>
      <c r="E16" s="401"/>
      <c r="F16" s="401"/>
      <c r="G16" s="401"/>
      <c r="H16" s="401"/>
      <c r="I16" s="401"/>
      <c r="J16" s="401"/>
      <c r="K16" s="401">
        <f>VLOOKUP($O$2,Invoerenploeg!$A$4:$EA$33,72,FALSE)</f>
        <v>0</v>
      </c>
      <c r="L16" s="401"/>
      <c r="M16" s="402">
        <f>VLOOKUP($O$2,Invoerenploeg!$A$4:$EA$33,95,FALSE)</f>
        <v>0</v>
      </c>
      <c r="N16" s="402"/>
      <c r="O16" s="403">
        <f>VLOOKUP($O$2,Invoerenploeg!$A$4:$EA$33,105,FALSE)</f>
      </c>
      <c r="P16" s="403"/>
      <c r="Q16" s="195"/>
      <c r="R16" s="195"/>
    </row>
    <row r="17" spans="1:18" ht="15" customHeight="1">
      <c r="A17" s="195"/>
      <c r="B17" s="195"/>
      <c r="C17" s="208">
        <v>6</v>
      </c>
      <c r="D17" s="401">
        <f>VLOOKUP($O$2,Invoerenploeg!$A$4:$EA$33,74,FALSE)</f>
        <v>0</v>
      </c>
      <c r="E17" s="401"/>
      <c r="F17" s="401"/>
      <c r="G17" s="401"/>
      <c r="H17" s="401"/>
      <c r="I17" s="401"/>
      <c r="J17" s="401"/>
      <c r="K17" s="401">
        <f>VLOOKUP($O$2,Invoerenploeg!$A$4:$EA$33,75,FALSE)</f>
        <v>0</v>
      </c>
      <c r="L17" s="401"/>
      <c r="M17" s="402">
        <f>VLOOKUP($O$2,Invoerenploeg!$A$4:$EA$33,96,FALSE)</f>
        <v>0</v>
      </c>
      <c r="N17" s="402"/>
      <c r="O17" s="403">
        <f>VLOOKUP($O$2,Invoerenploeg!$A$4:$EA$33,106,FALSE)</f>
      </c>
      <c r="P17" s="403"/>
      <c r="Q17" s="195"/>
      <c r="R17" s="195"/>
    </row>
    <row r="18" spans="1:18" ht="15" customHeight="1">
      <c r="A18" s="195"/>
      <c r="B18" s="195"/>
      <c r="C18" s="208">
        <v>7</v>
      </c>
      <c r="D18" s="401">
        <f>VLOOKUP($O$2,Invoerenploeg!$A$4:$EA$33,77,FALSE)</f>
        <v>0</v>
      </c>
      <c r="E18" s="401"/>
      <c r="F18" s="401"/>
      <c r="G18" s="401"/>
      <c r="H18" s="401"/>
      <c r="I18" s="401"/>
      <c r="J18" s="401"/>
      <c r="K18" s="401">
        <f>VLOOKUP($O$2,Invoerenploeg!$A$4:$EA$33,78,FALSE)</f>
        <v>0</v>
      </c>
      <c r="L18" s="401"/>
      <c r="M18" s="402">
        <f>VLOOKUP($O$2,Invoerenploeg!$A$4:$EA$33,97,FALSE)</f>
        <v>0</v>
      </c>
      <c r="N18" s="402"/>
      <c r="O18" s="403">
        <f>VLOOKUP($O$2,Invoerenploeg!$A$4:$EA$33,107,FALSE)</f>
      </c>
      <c r="P18" s="403"/>
      <c r="Q18" s="195"/>
      <c r="R18" s="195"/>
    </row>
    <row r="19" spans="1:18" ht="15" customHeight="1">
      <c r="A19" s="195"/>
      <c r="B19" s="195"/>
      <c r="C19" s="208">
        <v>8</v>
      </c>
      <c r="D19" s="401">
        <f>VLOOKUP($O$2,Invoerenploeg!$A$4:$EA$33,80,FALSE)</f>
        <v>0</v>
      </c>
      <c r="E19" s="401"/>
      <c r="F19" s="401"/>
      <c r="G19" s="401"/>
      <c r="H19" s="401"/>
      <c r="I19" s="401"/>
      <c r="J19" s="401"/>
      <c r="K19" s="401">
        <f>VLOOKUP($O$2,Invoerenploeg!$A$4:$EA$33,81,FALSE)</f>
        <v>0</v>
      </c>
      <c r="L19" s="401"/>
      <c r="M19" s="402">
        <f>VLOOKUP($O$2,Invoerenploeg!$A$4:$EA$33,98,FALSE)</f>
        <v>0</v>
      </c>
      <c r="N19" s="402"/>
      <c r="O19" s="403">
        <f>VLOOKUP($O$2,Invoerenploeg!$A$4:$EA$33,108,FALSE)</f>
      </c>
      <c r="P19" s="403"/>
      <c r="Q19" s="195"/>
      <c r="R19" s="195"/>
    </row>
    <row r="20" spans="1:18" ht="15" customHeight="1">
      <c r="A20" s="195"/>
      <c r="B20" s="195"/>
      <c r="C20" s="208">
        <v>9</v>
      </c>
      <c r="D20" s="401">
        <f>VLOOKUP($O$2,Invoerenploeg!$A$4:$EA$33,83,FALSE)</f>
        <v>0</v>
      </c>
      <c r="E20" s="401"/>
      <c r="F20" s="401"/>
      <c r="G20" s="401"/>
      <c r="H20" s="401"/>
      <c r="I20" s="401"/>
      <c r="J20" s="401"/>
      <c r="K20" s="401">
        <f>VLOOKUP($O$2,Invoerenploeg!$A$4:$EA$33,84,FALSE)</f>
        <v>0</v>
      </c>
      <c r="L20" s="401"/>
      <c r="M20" s="402">
        <f>VLOOKUP($O$2,Invoerenploeg!$A$4:$EA$33,99,FALSE)</f>
        <v>0</v>
      </c>
      <c r="N20" s="402"/>
      <c r="O20" s="403">
        <f>VLOOKUP($O$2,Invoerenploeg!$A$4:$EA$33,109,FALSE)</f>
      </c>
      <c r="P20" s="403"/>
      <c r="Q20" s="195"/>
      <c r="R20" s="195"/>
    </row>
    <row r="21" spans="1:18" ht="12.75">
      <c r="A21" s="195"/>
      <c r="B21" s="195"/>
      <c r="C21" s="208">
        <v>10</v>
      </c>
      <c r="D21" s="401">
        <f>VLOOKUP($O$2,Invoerenploeg!$A$4:$EA$33,86,FALSE)</f>
        <v>0</v>
      </c>
      <c r="E21" s="401"/>
      <c r="F21" s="401"/>
      <c r="G21" s="401"/>
      <c r="H21" s="401"/>
      <c r="I21" s="401"/>
      <c r="J21" s="401"/>
      <c r="K21" s="401">
        <f>VLOOKUP($O$2,Invoerenploeg!$A$4:$EA$33,87,FALSE)</f>
        <v>0</v>
      </c>
      <c r="L21" s="401"/>
      <c r="M21" s="402">
        <f>VLOOKUP($O$2,Invoerenploeg!$A$4:$EA$33,100,FALSE)</f>
        <v>0</v>
      </c>
      <c r="N21" s="402"/>
      <c r="O21" s="403">
        <f>VLOOKUP($O$2,Invoerenploeg!$A$4:$EA$33,110,FALSE)</f>
      </c>
      <c r="P21" s="403"/>
      <c r="Q21" s="195"/>
      <c r="R21" s="195"/>
    </row>
    <row r="22" spans="1:18" ht="12.75">
      <c r="A22" s="195"/>
      <c r="B22" s="195"/>
      <c r="C22" s="208" t="s">
        <v>64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402"/>
      <c r="O22" s="403"/>
      <c r="P22" s="403"/>
      <c r="Q22" s="195"/>
      <c r="R22" s="195"/>
    </row>
    <row r="23" spans="1:18" ht="12.75">
      <c r="A23" s="195"/>
      <c r="B23" s="195"/>
      <c r="C23" s="209" t="s">
        <v>64</v>
      </c>
      <c r="D23" s="255"/>
      <c r="E23" s="256"/>
      <c r="F23" s="256"/>
      <c r="G23" s="256"/>
      <c r="H23" s="256"/>
      <c r="I23" s="256"/>
      <c r="J23" s="424" t="str">
        <f>"Resultaat beste "&amp;VLOOKUP($O$2,Invoerenploeg!$A$4:$EA$33,114,FALSE)</f>
        <v>Resultaat beste 4</v>
      </c>
      <c r="K23" s="424"/>
      <c r="L23" s="424"/>
      <c r="M23" s="402">
        <f>VLOOKUP($O$2,Invoerenploeg!$A$4:$EA$33,115,FALSE)</f>
        <v>20.7005625</v>
      </c>
      <c r="N23" s="402"/>
      <c r="O23" s="405"/>
      <c r="P23" s="405"/>
      <c r="Q23" s="195"/>
      <c r="R23" s="195"/>
    </row>
    <row r="24" spans="1:18" ht="12.75">
      <c r="A24" s="195"/>
      <c r="B24" s="195"/>
      <c r="C24" s="195"/>
      <c r="D24" s="195"/>
      <c r="E24" s="195"/>
      <c r="F24" s="195"/>
      <c r="G24" s="195"/>
      <c r="H24" s="397" t="s">
        <v>120</v>
      </c>
      <c r="I24" s="397"/>
      <c r="J24" s="397"/>
      <c r="K24" s="397"/>
      <c r="L24" s="397"/>
      <c r="M24" s="397"/>
      <c r="N24" s="397"/>
      <c r="O24" s="398">
        <f>SUM(O12:P23)</f>
        <v>165.60449999999997</v>
      </c>
      <c r="P24" s="398"/>
      <c r="Q24" s="195"/>
      <c r="R24" s="195"/>
    </row>
    <row r="25" spans="10:16" ht="12.75">
      <c r="J25" s="210">
        <f>Invoerenploeg!C1/100</f>
        <v>0.5</v>
      </c>
      <c r="K25" s="399" t="s">
        <v>171</v>
      </c>
      <c r="L25" s="399"/>
      <c r="M25" s="399"/>
      <c r="N25" s="399"/>
      <c r="O25" s="398">
        <f>IF(O24&gt;0,ROUND(AVERAGE(O12:O23)*J25,4),0)</f>
        <v>20.7006</v>
      </c>
      <c r="P25" s="398"/>
    </row>
    <row r="26" spans="10:16" ht="12.75">
      <c r="J26" s="211">
        <f>Invoerenploeg!C3/100</f>
        <v>0</v>
      </c>
      <c r="K26" s="400" t="s">
        <v>122</v>
      </c>
      <c r="L26" s="400"/>
      <c r="M26" s="400"/>
      <c r="N26" s="400"/>
      <c r="O26" s="398">
        <f>ROUND(VLOOKUP($O$2,Invoerenploeg!$A$4:$EA$33,8,FALSE)*J26,4)</f>
        <v>0</v>
      </c>
      <c r="P26" s="398"/>
    </row>
    <row r="27" spans="1:18" ht="39.75" customHeight="1">
      <c r="A27" s="392" t="s">
        <v>123</v>
      </c>
      <c r="B27" s="392"/>
      <c r="C27" s="392"/>
      <c r="D27" s="212" t="s">
        <v>81</v>
      </c>
      <c r="E27" s="213" t="s">
        <v>124</v>
      </c>
      <c r="F27" s="213" t="s">
        <v>125</v>
      </c>
      <c r="G27" s="213" t="s">
        <v>126</v>
      </c>
      <c r="H27" s="213" t="s">
        <v>127</v>
      </c>
      <c r="I27" s="213" t="s">
        <v>128</v>
      </c>
      <c r="J27" s="214" t="s">
        <v>129</v>
      </c>
      <c r="K27" s="393" t="s">
        <v>130</v>
      </c>
      <c r="L27" s="393"/>
      <c r="M27" s="394" t="s">
        <v>131</v>
      </c>
      <c r="N27" s="394"/>
      <c r="O27" s="215" t="s">
        <v>64</v>
      </c>
      <c r="P27" s="215" t="s">
        <v>64</v>
      </c>
      <c r="Q27" s="195"/>
      <c r="R27" s="195"/>
    </row>
    <row r="28" spans="1:18" s="219" customFormat="1" ht="34.5" customHeight="1">
      <c r="A28" s="395" t="s">
        <v>132</v>
      </c>
      <c r="B28" s="395"/>
      <c r="C28" s="395"/>
      <c r="D28" s="216">
        <v>0.3</v>
      </c>
      <c r="E28" s="217">
        <f>VLOOKUP($O$2,Invoerenploeg!$A$4:$EA$33,17,FALSE)</f>
        <v>4.1</v>
      </c>
      <c r="F28" s="217">
        <f>VLOOKUP($O$2,Invoerenploeg!$A$4:$EA$33,18,FALSE)</f>
        <v>4.4</v>
      </c>
      <c r="G28" s="217">
        <f>VLOOKUP($O$2,Invoerenploeg!$A$4:$EA$33,19,FALSE)</f>
        <v>4.6</v>
      </c>
      <c r="H28" s="217">
        <f>VLOOKUP($O$2,Invoerenploeg!$A$4:$EA$33,20,FALSE)</f>
        <v>4.4</v>
      </c>
      <c r="I28" s="217">
        <f>VLOOKUP($O$2,Invoerenploeg!$A$4:$EA$33,21,FALSE)</f>
        <v>4.6</v>
      </c>
      <c r="J28" s="214">
        <f>VLOOKUP($O$2,Invoerenploeg!$A$4:$EA$33,22,FALSE)</f>
        <v>13.4</v>
      </c>
      <c r="K28" s="389">
        <f>J28/3</f>
        <v>4.466666666666667</v>
      </c>
      <c r="L28" s="389"/>
      <c r="M28" s="396">
        <v>3</v>
      </c>
      <c r="N28" s="396"/>
      <c r="O28" s="387">
        <f>ROUND(K28*10*D28,4)</f>
        <v>13.4</v>
      </c>
      <c r="P28" s="387"/>
      <c r="Q28" s="218"/>
      <c r="R28" s="218"/>
    </row>
    <row r="29" spans="1:18" ht="34.5" customHeight="1">
      <c r="A29" s="388" t="s">
        <v>133</v>
      </c>
      <c r="B29" s="388"/>
      <c r="C29" s="388"/>
      <c r="D29" s="220">
        <v>0.4</v>
      </c>
      <c r="E29" s="217">
        <f>VLOOKUP($O$2,Invoerenploeg!$A$4:$EA$33,30,FALSE)</f>
        <v>4.6</v>
      </c>
      <c r="F29" s="221">
        <f>VLOOKUP($O$2,Invoerenploeg!$A$4:$EA$33,31,FALSE)</f>
        <v>4.2</v>
      </c>
      <c r="G29" s="217">
        <f>VLOOKUP($O$2,Invoerenploeg!$A$4:$EA$33,32,FALSE)</f>
        <v>4.7</v>
      </c>
      <c r="H29" s="221">
        <f>VLOOKUP($O$2,Invoerenploeg!$A$4:$EA$33,33,FALSE)</f>
        <v>5.2</v>
      </c>
      <c r="I29" s="217">
        <f>VLOOKUP($O$2,Invoerenploeg!$A$4:$EA$33,34,FALSE)</f>
        <v>4.3</v>
      </c>
      <c r="J29" s="213">
        <f>VLOOKUP($O$2,Invoerenploeg!$A$4:$EA$33,35,FALSE)</f>
        <v>13.600000000000001</v>
      </c>
      <c r="K29" s="389">
        <f>J29/3</f>
        <v>4.533333333333334</v>
      </c>
      <c r="L29" s="389"/>
      <c r="M29" s="390">
        <v>4</v>
      </c>
      <c r="N29" s="390"/>
      <c r="O29" s="387">
        <f>ROUND(K29*10*D29,4)</f>
        <v>18.1333</v>
      </c>
      <c r="P29" s="387"/>
      <c r="Q29" s="195"/>
      <c r="R29" s="195"/>
    </row>
    <row r="30" spans="1:18" ht="34.5" customHeight="1">
      <c r="A30" s="391" t="s">
        <v>7</v>
      </c>
      <c r="B30" s="391"/>
      <c r="C30" s="391"/>
      <c r="D30" s="220">
        <v>0.3</v>
      </c>
      <c r="E30" s="217">
        <f>VLOOKUP($O$2,Invoerenploeg!$A$4:$EA$33,43,FALSE)</f>
        <v>4.7</v>
      </c>
      <c r="F30" s="221">
        <f>VLOOKUP($O$2,Invoerenploeg!$A$4:$EA$33,44,FALSE)</f>
        <v>4.7</v>
      </c>
      <c r="G30" s="217">
        <f>VLOOKUP($O$2,Invoerenploeg!$A$4:$EA$33,45,FALSE)</f>
        <v>4.7</v>
      </c>
      <c r="H30" s="221">
        <f>VLOOKUP($O$2,Invoerenploeg!$A$4:$EA$33,46,FALSE)</f>
        <v>4.5</v>
      </c>
      <c r="I30" s="217">
        <f>VLOOKUP($O$2,Invoerenploeg!$A$4:$EA$33,47,FALSE)</f>
        <v>4.3</v>
      </c>
      <c r="J30" s="213">
        <f>VLOOKUP($O$2,Invoerenploeg!$A$4:$EA$33,48,FALSE)</f>
        <v>13.900000000000002</v>
      </c>
      <c r="K30" s="389">
        <f>J30/3</f>
        <v>4.633333333333334</v>
      </c>
      <c r="L30" s="389"/>
      <c r="M30" s="390">
        <v>3</v>
      </c>
      <c r="N30" s="390"/>
      <c r="O30" s="387">
        <f>ROUND(K30*10*D30,4)</f>
        <v>13.9</v>
      </c>
      <c r="P30" s="387"/>
      <c r="Q30" s="195"/>
      <c r="R30" s="195"/>
    </row>
    <row r="31" spans="1:18" ht="12" customHeight="1">
      <c r="A31" s="382" t="s">
        <v>64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3" t="s">
        <v>17</v>
      </c>
      <c r="N31" s="383"/>
      <c r="O31" s="384">
        <f>SUM(O28:P30)</f>
        <v>45.433299999999996</v>
      </c>
      <c r="P31" s="384"/>
      <c r="Q31" s="222"/>
      <c r="R31" s="223"/>
    </row>
    <row r="32" spans="1:18" ht="12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3"/>
      <c r="N32" s="383"/>
      <c r="O32" s="384"/>
      <c r="P32" s="384"/>
      <c r="Q32" s="222"/>
      <c r="R32" s="223"/>
    </row>
    <row r="33" spans="1:18" ht="15">
      <c r="A33" s="224"/>
      <c r="B33" s="224"/>
      <c r="C33" s="225"/>
      <c r="D33" s="225"/>
      <c r="E33" s="225"/>
      <c r="F33" s="225"/>
      <c r="G33" s="225"/>
      <c r="H33" s="225"/>
      <c r="I33" s="225"/>
      <c r="J33" s="215"/>
      <c r="K33" s="215"/>
      <c r="L33" s="226"/>
      <c r="M33" s="227"/>
      <c r="N33" s="227"/>
      <c r="O33" s="215"/>
      <c r="P33" s="215"/>
      <c r="Q33" s="222"/>
      <c r="R33" s="223"/>
    </row>
    <row r="34" spans="1:18" ht="12.75">
      <c r="A34" s="228" t="s">
        <v>134</v>
      </c>
      <c r="B34" s="229"/>
      <c r="C34" s="229"/>
      <c r="D34" s="229"/>
      <c r="E34" s="230"/>
      <c r="F34" s="231" t="s">
        <v>135</v>
      </c>
      <c r="G34" s="232"/>
      <c r="H34" s="232"/>
      <c r="I34" s="233"/>
      <c r="J34" s="234">
        <v>4</v>
      </c>
      <c r="K34" s="234">
        <v>5</v>
      </c>
      <c r="L34" s="235">
        <v>6</v>
      </c>
      <c r="M34" s="234">
        <v>7</v>
      </c>
      <c r="N34" s="236">
        <v>8</v>
      </c>
      <c r="O34" s="237"/>
      <c r="P34" s="238"/>
      <c r="Q34" s="194"/>
      <c r="R34" s="194"/>
    </row>
    <row r="35" spans="1:18" ht="12.75">
      <c r="A35" s="194"/>
      <c r="B35" s="194"/>
      <c r="C35" s="194"/>
      <c r="D35" s="194"/>
      <c r="E35" s="194"/>
      <c r="F35" s="239" t="s">
        <v>136</v>
      </c>
      <c r="G35" s="240"/>
      <c r="H35" s="240"/>
      <c r="I35" s="240"/>
      <c r="J35" s="241">
        <v>-2</v>
      </c>
      <c r="K35" s="241">
        <v>-1.5</v>
      </c>
      <c r="L35" s="241">
        <v>-1</v>
      </c>
      <c r="M35" s="241">
        <v>-0.5</v>
      </c>
      <c r="N35" s="242">
        <v>0</v>
      </c>
      <c r="O35" s="385">
        <f>VLOOKUP($O$2,Invoerenploeg!$A$4:$EA$33,52,FALSE)*-1</f>
        <v>-2</v>
      </c>
      <c r="P35" s="385"/>
      <c r="Q35" s="194"/>
      <c r="R35" s="194"/>
    </row>
    <row r="36" spans="1:18" ht="15" customHeight="1">
      <c r="A36" s="386" t="s">
        <v>137</v>
      </c>
      <c r="B36" s="374" t="s">
        <v>138</v>
      </c>
      <c r="C36" s="374" t="s">
        <v>139</v>
      </c>
      <c r="D36" s="374"/>
      <c r="E36" s="374" t="s">
        <v>140</v>
      </c>
      <c r="F36" s="374"/>
      <c r="G36" s="374" t="s">
        <v>141</v>
      </c>
      <c r="H36" s="374"/>
      <c r="I36" s="374" t="s">
        <v>142</v>
      </c>
      <c r="J36" s="374"/>
      <c r="K36" s="374" t="s">
        <v>143</v>
      </c>
      <c r="L36" s="374"/>
      <c r="M36" s="375" t="s">
        <v>144</v>
      </c>
      <c r="N36" s="375"/>
      <c r="O36" s="376"/>
      <c r="P36" s="376"/>
      <c r="Q36" s="194"/>
      <c r="R36" s="194"/>
    </row>
    <row r="37" spans="1:18" ht="15" customHeight="1">
      <c r="A37" s="386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5"/>
      <c r="N37" s="375"/>
      <c r="O37" s="376"/>
      <c r="P37" s="376"/>
      <c r="Q37" s="194"/>
      <c r="R37" s="194"/>
    </row>
    <row r="38" spans="1:18" ht="12.75">
      <c r="A38" s="243"/>
      <c r="B38" s="244"/>
      <c r="C38" s="377"/>
      <c r="D38" s="377"/>
      <c r="E38" s="378"/>
      <c r="F38" s="378"/>
      <c r="G38" s="379" t="s">
        <v>145</v>
      </c>
      <c r="H38" s="379"/>
      <c r="I38" s="379" t="s">
        <v>146</v>
      </c>
      <c r="J38" s="379"/>
      <c r="K38" s="379" t="s">
        <v>146</v>
      </c>
      <c r="L38" s="379"/>
      <c r="M38" s="380" t="s">
        <v>146</v>
      </c>
      <c r="N38" s="380"/>
      <c r="O38" s="423">
        <f>VLOOKUP($O$2,Invoerenploeg!$A$4:$EA$33,51,FALSE)*-1</f>
        <v>0</v>
      </c>
      <c r="P38" s="423">
        <f>VLOOKUP($O$2,Invoerenploeg!$A$4:$EA$33,48,FALSE)</f>
        <v>13.900000000000002</v>
      </c>
      <c r="Q38" s="215" t="s">
        <v>64</v>
      </c>
      <c r="R38" s="215"/>
    </row>
    <row r="39" spans="1:16" ht="17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245" t="s">
        <v>147</v>
      </c>
      <c r="O39" s="372">
        <f>O31+O35+O38</f>
        <v>43.433299999999996</v>
      </c>
      <c r="P39" s="372"/>
    </row>
    <row r="40" spans="1:16" ht="17.25" customHeight="1">
      <c r="A40" s="194" t="s">
        <v>148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45" t="s">
        <v>149</v>
      </c>
      <c r="O40" s="372">
        <f>O39+O26+O25</f>
        <v>64.1339</v>
      </c>
      <c r="P40" s="372"/>
    </row>
    <row r="41" spans="1:16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45" t="s">
        <v>150</v>
      </c>
      <c r="O41" s="373"/>
      <c r="P41" s="373"/>
    </row>
    <row r="42" ht="12">
      <c r="A42" s="246" t="s">
        <v>151</v>
      </c>
    </row>
  </sheetData>
  <sheetProtection selectLockedCells="1" selectUnlockedCells="1"/>
  <mergeCells count="124">
    <mergeCell ref="P1:Q1"/>
    <mergeCell ref="M2:N2"/>
    <mergeCell ref="O2:P2"/>
    <mergeCell ref="C3:L3"/>
    <mergeCell ref="M3:N3"/>
    <mergeCell ref="O3:P3"/>
    <mergeCell ref="A4:B4"/>
    <mergeCell ref="C4:L4"/>
    <mergeCell ref="M4:N4"/>
    <mergeCell ref="O4:P4"/>
    <mergeCell ref="C5:L5"/>
    <mergeCell ref="M5:N5"/>
    <mergeCell ref="O5:P5"/>
    <mergeCell ref="A6:B6"/>
    <mergeCell ref="C6:H6"/>
    <mergeCell ref="M6:N6"/>
    <mergeCell ref="O6:P6"/>
    <mergeCell ref="K7:L7"/>
    <mergeCell ref="M7:N7"/>
    <mergeCell ref="O7:P7"/>
    <mergeCell ref="A8:B8"/>
    <mergeCell ref="M8:N8"/>
    <mergeCell ref="O8:P8"/>
    <mergeCell ref="A9:B9"/>
    <mergeCell ref="M9:N9"/>
    <mergeCell ref="O9:P9"/>
    <mergeCell ref="C10:J10"/>
    <mergeCell ref="M10:N10"/>
    <mergeCell ref="O10:P10"/>
    <mergeCell ref="D11:J11"/>
    <mergeCell ref="K11:L11"/>
    <mergeCell ref="M11:N11"/>
    <mergeCell ref="O11:P11"/>
    <mergeCell ref="D12:J12"/>
    <mergeCell ref="K12:L12"/>
    <mergeCell ref="M12:N12"/>
    <mergeCell ref="O12:P12"/>
    <mergeCell ref="D13:J13"/>
    <mergeCell ref="K13:L13"/>
    <mergeCell ref="M13:N13"/>
    <mergeCell ref="O13:P13"/>
    <mergeCell ref="D14:J14"/>
    <mergeCell ref="K14:L14"/>
    <mergeCell ref="M14:N14"/>
    <mergeCell ref="O14:P14"/>
    <mergeCell ref="D15:J15"/>
    <mergeCell ref="K15:L15"/>
    <mergeCell ref="M15:N15"/>
    <mergeCell ref="O15:P15"/>
    <mergeCell ref="D16:J16"/>
    <mergeCell ref="K16:L16"/>
    <mergeCell ref="M16:N16"/>
    <mergeCell ref="O16:P16"/>
    <mergeCell ref="D17:J17"/>
    <mergeCell ref="K17:L17"/>
    <mergeCell ref="M17:N17"/>
    <mergeCell ref="O17:P17"/>
    <mergeCell ref="D18:J18"/>
    <mergeCell ref="K18:L18"/>
    <mergeCell ref="M18:N18"/>
    <mergeCell ref="O18:P18"/>
    <mergeCell ref="D19:J19"/>
    <mergeCell ref="K19:L19"/>
    <mergeCell ref="M19:N19"/>
    <mergeCell ref="O19:P19"/>
    <mergeCell ref="D20:J20"/>
    <mergeCell ref="K20:L20"/>
    <mergeCell ref="M20:N20"/>
    <mergeCell ref="O20:P20"/>
    <mergeCell ref="D21:J21"/>
    <mergeCell ref="K21:L21"/>
    <mergeCell ref="M21:N21"/>
    <mergeCell ref="O21:P21"/>
    <mergeCell ref="D22:J22"/>
    <mergeCell ref="K22:L22"/>
    <mergeCell ref="M22:N22"/>
    <mergeCell ref="O22:P22"/>
    <mergeCell ref="J23:L23"/>
    <mergeCell ref="M23:N23"/>
    <mergeCell ref="O23:P23"/>
    <mergeCell ref="H24:N24"/>
    <mergeCell ref="O24:P24"/>
    <mergeCell ref="K25:N25"/>
    <mergeCell ref="O25:P25"/>
    <mergeCell ref="K26:N26"/>
    <mergeCell ref="O26:P26"/>
    <mergeCell ref="A27:C27"/>
    <mergeCell ref="K27:L27"/>
    <mergeCell ref="M27:N27"/>
    <mergeCell ref="A28:C28"/>
    <mergeCell ref="K28:L28"/>
    <mergeCell ref="M28:N28"/>
    <mergeCell ref="O28:P28"/>
    <mergeCell ref="A29:C29"/>
    <mergeCell ref="K29:L29"/>
    <mergeCell ref="M29:N29"/>
    <mergeCell ref="O29:P29"/>
    <mergeCell ref="A30:C30"/>
    <mergeCell ref="K30:L30"/>
    <mergeCell ref="M30:N30"/>
    <mergeCell ref="O30:P30"/>
    <mergeCell ref="A31:L32"/>
    <mergeCell ref="M31:N32"/>
    <mergeCell ref="O31:P32"/>
    <mergeCell ref="O35:P35"/>
    <mergeCell ref="A36:A37"/>
    <mergeCell ref="B36:B37"/>
    <mergeCell ref="C36:D37"/>
    <mergeCell ref="E36:F37"/>
    <mergeCell ref="G36:H37"/>
    <mergeCell ref="I36:J37"/>
    <mergeCell ref="C38:D38"/>
    <mergeCell ref="E38:F38"/>
    <mergeCell ref="G38:H38"/>
    <mergeCell ref="I38:J38"/>
    <mergeCell ref="K38:L38"/>
    <mergeCell ref="M38:N38"/>
    <mergeCell ref="O39:P39"/>
    <mergeCell ref="O40:P40"/>
    <mergeCell ref="O41:P41"/>
    <mergeCell ref="K36:L37"/>
    <mergeCell ref="M36:N37"/>
    <mergeCell ref="O36:P37"/>
    <mergeCell ref="O38:P38"/>
  </mergeCells>
  <conditionalFormatting sqref="E28:I28">
    <cfRule type="expression" priority="1" dxfId="16" stopIfTrue="1">
      <formula>"max(r28k5:r28k9)"</formula>
    </cfRule>
  </conditionalFormatting>
  <conditionalFormatting sqref="I29">
    <cfRule type="expression" priority="2" dxfId="16" stopIfTrue="1">
      <formula>"max(r28k5:r28k9)"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R26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5.875" style="0" customWidth="1"/>
    <col min="3" max="3" width="13.25390625" style="0" customWidth="1"/>
    <col min="4" max="4" width="24.375" style="0" customWidth="1"/>
    <col min="5" max="5" width="12.00390625" style="0" customWidth="1"/>
    <col min="6" max="6" width="5.75390625" style="0" customWidth="1"/>
    <col min="8" max="8" width="2.875" style="271" customWidth="1"/>
    <col min="9" max="9" width="4.125" style="0" customWidth="1"/>
    <col min="10" max="10" width="5.625" style="272" customWidth="1"/>
    <col min="11" max="11" width="8.625" style="0" customWidth="1"/>
    <col min="12" max="15" width="5.375" style="0" customWidth="1"/>
  </cols>
  <sheetData>
    <row r="1" spans="1:18" ht="12.75">
      <c r="A1" s="273" t="str">
        <f>'Startlijst solo'!B1</f>
        <v>LSZK-A</v>
      </c>
      <c r="B1" s="274"/>
      <c r="C1" s="274"/>
      <c r="D1" s="274"/>
      <c r="E1" s="274"/>
      <c r="F1" s="274"/>
      <c r="G1" s="274"/>
      <c r="H1" s="275"/>
      <c r="I1" s="274"/>
      <c r="K1" s="276" t="str">
        <f>'Startlijst solo'!M1</f>
        <v>Datum:</v>
      </c>
      <c r="L1" s="276"/>
      <c r="M1" s="433" t="e">
        <f>'Startlijst solo'!N1:P1</f>
        <v>#VALUE!</v>
      </c>
      <c r="N1" s="433"/>
      <c r="O1" s="277"/>
      <c r="P1" s="278"/>
      <c r="Q1" s="278"/>
      <c r="R1" s="278"/>
    </row>
    <row r="2" spans="1:16" ht="12.75">
      <c r="A2" s="273" t="str">
        <f>'Startlijst solo'!B2</f>
        <v>Organisatie:  SPIO Venray</v>
      </c>
      <c r="B2" s="274"/>
      <c r="C2" s="274"/>
      <c r="D2" s="273" t="str">
        <f>'Startlijst solo'!D2</f>
        <v>Zwembad: De Sprank te Venray</v>
      </c>
      <c r="E2" s="273"/>
      <c r="F2" s="274"/>
      <c r="G2" s="274"/>
      <c r="H2" s="275"/>
      <c r="I2" s="274"/>
      <c r="K2" s="276" t="str">
        <f>'Startlijst solo'!M2</f>
        <v>Aanvang:</v>
      </c>
      <c r="L2" s="276"/>
      <c r="M2" s="434" t="e">
        <f>'Startlijst solo'!N2:P2</f>
        <v>#VALUE!</v>
      </c>
      <c r="N2" s="434"/>
      <c r="O2" s="278"/>
      <c r="P2" s="278"/>
    </row>
    <row r="3" spans="1:14" ht="12.75">
      <c r="A3" s="273" t="s">
        <v>212</v>
      </c>
      <c r="B3" s="273"/>
      <c r="C3" s="273" t="str">
        <f>'Startlijst solo'!C3</f>
        <v>Age I</v>
      </c>
      <c r="D3" s="279"/>
      <c r="E3" s="280"/>
      <c r="F3" s="279"/>
      <c r="G3" s="279"/>
      <c r="H3" s="281"/>
      <c r="I3" s="279"/>
      <c r="J3" s="282"/>
      <c r="K3" s="279"/>
      <c r="L3" s="276"/>
      <c r="M3" s="276"/>
      <c r="N3" s="276"/>
    </row>
    <row r="4" spans="1:15" ht="5.25" customHeight="1">
      <c r="A4" s="283"/>
      <c r="B4" s="284"/>
      <c r="C4" s="284"/>
      <c r="D4" s="284"/>
      <c r="E4" s="285"/>
      <c r="F4" s="285"/>
      <c r="G4" s="284"/>
      <c r="H4" s="286"/>
      <c r="I4" s="284"/>
      <c r="J4" s="287"/>
      <c r="K4" s="284"/>
      <c r="L4" s="284"/>
      <c r="M4" s="284"/>
      <c r="N4" s="284"/>
      <c r="O4" s="284"/>
    </row>
    <row r="5" spans="1:15" ht="12.75">
      <c r="A5" s="288"/>
      <c r="B5" s="435" t="s">
        <v>213</v>
      </c>
      <c r="C5" s="435"/>
      <c r="D5" s="435"/>
      <c r="E5" s="289"/>
      <c r="F5" s="436" t="str">
        <f>'[2]Invoeren'!G3</f>
        <v>Diploma punten</v>
      </c>
      <c r="G5" s="436"/>
      <c r="H5" s="436"/>
      <c r="I5" s="290"/>
      <c r="J5" s="291" t="str">
        <f>'[2]Invoeren'!K1</f>
        <v>Prestatie</v>
      </c>
      <c r="K5" s="292" t="s">
        <v>214</v>
      </c>
      <c r="L5" s="290"/>
      <c r="M5" s="293">
        <f>'[2]Invoeren'!M1</f>
        <v>0</v>
      </c>
      <c r="N5" s="294" t="str">
        <f>'[2]Invoeren'!N1</f>
        <v>Limieten:</v>
      </c>
      <c r="O5" s="295">
        <f>'[2]Invoeren'!O1</f>
        <v>0</v>
      </c>
    </row>
    <row r="6" spans="1:15" ht="12.75">
      <c r="A6" s="288">
        <f>'[2]Startlijst'!A6</f>
        <v>1</v>
      </c>
      <c r="B6" s="296" t="str">
        <f>'[2]Startlijst'!B6</f>
        <v>308 Barracuda airborne split</v>
      </c>
      <c r="C6" s="296"/>
      <c r="D6" s="274"/>
      <c r="E6" s="297">
        <f>'[2]Startlijst'!D6</f>
        <v>2.8</v>
      </c>
      <c r="F6" s="289"/>
      <c r="G6" s="298">
        <f>'[2]Invoeren'!$H3</f>
        <v>52</v>
      </c>
      <c r="H6" s="299"/>
      <c r="I6" s="437">
        <f>'[2]Invoeren'!K2</f>
        <v>60</v>
      </c>
      <c r="J6" s="437"/>
      <c r="K6" s="300" t="str">
        <f>'[2]Wedstrijd gegevens'!F27</f>
        <v>Brons</v>
      </c>
      <c r="N6" s="298"/>
      <c r="O6" s="291">
        <f>'[2]Invoeren'!O2</f>
        <v>0</v>
      </c>
    </row>
    <row r="7" spans="1:15" ht="12.75">
      <c r="A7" s="288">
        <f>'[2]Startlijst'!A7</f>
        <v>2</v>
      </c>
      <c r="B7" s="296" t="str">
        <f>'[2]Startlijst'!B7</f>
        <v>355g Bruinvis twist spin</v>
      </c>
      <c r="C7" s="296"/>
      <c r="D7" s="274"/>
      <c r="E7" s="297">
        <f>'[2]Startlijst'!D7</f>
        <v>2.6</v>
      </c>
      <c r="F7" s="289"/>
      <c r="G7" s="299"/>
      <c r="H7" s="438"/>
      <c r="I7" s="438"/>
      <c r="J7" s="301"/>
      <c r="K7" s="301"/>
      <c r="L7" s="300"/>
      <c r="M7" s="6" t="str">
        <f>'[2]Wedstrijd gegevens'!D27</f>
        <v>1996 en 1997</v>
      </c>
      <c r="N7" s="431">
        <f>'[2]Invoeren'!N3</f>
        <v>55</v>
      </c>
      <c r="O7" s="431"/>
    </row>
    <row r="8" spans="1:15" ht="12.75">
      <c r="A8" s="288">
        <f>'[2]Startlijst'!A8</f>
        <v>3</v>
      </c>
      <c r="B8" s="296" t="str">
        <f>'[2]Startlijst'!B8</f>
        <v>112f Ibis continuous spin (720°)</v>
      </c>
      <c r="C8" s="296"/>
      <c r="D8" s="274"/>
      <c r="E8" s="297">
        <f>'[2]Startlijst'!D8</f>
        <v>2.8</v>
      </c>
      <c r="F8" s="289"/>
      <c r="G8" s="302"/>
      <c r="H8" s="302"/>
      <c r="I8" s="303"/>
      <c r="J8" s="301"/>
      <c r="K8" s="301"/>
      <c r="L8" s="300"/>
      <c r="M8" s="6" t="str">
        <f>'[2]Wedstrijd gegevens'!C27</f>
        <v>1998 en 1999</v>
      </c>
      <c r="N8" s="431">
        <f>'[2]Invoeren'!N4</f>
        <v>53</v>
      </c>
      <c r="O8" s="431"/>
    </row>
    <row r="9" spans="1:15" ht="12.75">
      <c r="A9" s="288">
        <f>'[2]Startlijst'!A9</f>
        <v>4</v>
      </c>
      <c r="B9" s="296" t="str">
        <f>'[2]Startlijst'!B9</f>
        <v>325 Jupiter</v>
      </c>
      <c r="C9" s="296"/>
      <c r="D9" s="274"/>
      <c r="E9" s="297">
        <f>'[2]Startlijst'!D9</f>
        <v>2.8</v>
      </c>
      <c r="F9" s="289"/>
      <c r="G9" s="278"/>
      <c r="H9" s="304"/>
      <c r="I9" s="278"/>
      <c r="J9" s="305"/>
      <c r="K9" s="278"/>
      <c r="L9" s="278"/>
      <c r="M9" s="278"/>
      <c r="N9" s="278"/>
      <c r="O9" s="278"/>
    </row>
    <row r="10" spans="1:15" ht="4.5" customHeight="1">
      <c r="A10" s="288"/>
      <c r="B10" s="278"/>
      <c r="C10" s="278"/>
      <c r="D10" s="278"/>
      <c r="E10" s="289"/>
      <c r="F10" s="289"/>
      <c r="G10" s="278"/>
      <c r="H10" s="304"/>
      <c r="I10" s="278"/>
      <c r="J10" s="305"/>
      <c r="K10" s="278"/>
      <c r="L10" s="278"/>
      <c r="M10" s="278"/>
      <c r="N10" s="278"/>
      <c r="O10" s="278"/>
    </row>
    <row r="11" spans="1:15" ht="12.75">
      <c r="A11" s="306"/>
      <c r="B11" s="307"/>
      <c r="C11" s="308" t="s">
        <v>215</v>
      </c>
      <c r="D11" s="309"/>
      <c r="E11" s="309"/>
      <c r="F11" s="310"/>
      <c r="G11" s="309"/>
      <c r="H11" s="309"/>
      <c r="I11" s="309"/>
      <c r="J11" s="309"/>
      <c r="K11" s="309"/>
      <c r="L11" s="432" t="s">
        <v>216</v>
      </c>
      <c r="M11" s="432"/>
      <c r="N11" s="432"/>
      <c r="O11" s="432"/>
    </row>
    <row r="12" spans="1:15" ht="12.75" customHeight="1">
      <c r="A12" s="311" t="s">
        <v>217</v>
      </c>
      <c r="B12" s="312" t="s">
        <v>218</v>
      </c>
      <c r="C12" s="313" t="s">
        <v>219</v>
      </c>
      <c r="D12" s="313" t="s">
        <v>115</v>
      </c>
      <c r="E12" s="313" t="s">
        <v>18</v>
      </c>
      <c r="F12" s="313" t="s">
        <v>28</v>
      </c>
      <c r="G12" s="313" t="s">
        <v>27</v>
      </c>
      <c r="H12" s="313" t="s">
        <v>220</v>
      </c>
      <c r="I12" s="313" t="s">
        <v>221</v>
      </c>
      <c r="J12" s="313" t="s">
        <v>222</v>
      </c>
      <c r="K12" s="313" t="s">
        <v>223</v>
      </c>
      <c r="L12" s="314" t="s">
        <v>224</v>
      </c>
      <c r="M12" s="314" t="s">
        <v>225</v>
      </c>
      <c r="N12" s="314" t="s">
        <v>226</v>
      </c>
      <c r="O12" s="314" t="s">
        <v>227</v>
      </c>
    </row>
    <row r="13" spans="1:15" ht="12.75">
      <c r="A13" s="315">
        <f>'[2]Invoeren'!B7</f>
        <v>1</v>
      </c>
      <c r="B13" s="316">
        <f>'[2]Invoeren'!A7</f>
        <v>1</v>
      </c>
      <c r="C13" s="317">
        <v>200400222</v>
      </c>
      <c r="D13" t="s">
        <v>228</v>
      </c>
      <c r="E13" s="318" t="s">
        <v>229</v>
      </c>
      <c r="F13" s="319"/>
      <c r="G13" s="319" t="s">
        <v>230</v>
      </c>
      <c r="H13" s="320" t="s">
        <v>2</v>
      </c>
      <c r="I13" s="321">
        <f>'[2]Invoeren'!M7</f>
        <v>0</v>
      </c>
      <c r="J13" s="322">
        <f>'[2]Invoeren'!N7</f>
        <v>0</v>
      </c>
      <c r="K13" s="323">
        <v>47.4533</v>
      </c>
      <c r="L13" s="324">
        <f>'[2]Invoeren'!AI7</f>
        <v>0</v>
      </c>
      <c r="M13" s="324">
        <f>'[2]Invoeren'!BC7</f>
        <v>0</v>
      </c>
      <c r="N13" s="324">
        <f>'[2]Invoeren'!BW7</f>
        <v>0</v>
      </c>
      <c r="O13" s="324">
        <f>'[2]Invoeren'!CQ7</f>
        <v>0</v>
      </c>
    </row>
    <row r="14" spans="1:15" ht="12.75">
      <c r="A14" s="325">
        <f>'[2]Invoeren'!B8</f>
        <v>1</v>
      </c>
      <c r="B14" s="326">
        <f>'[2]Invoeren'!A10</f>
        <v>4</v>
      </c>
      <c r="C14" s="317">
        <v>200301748</v>
      </c>
      <c r="D14" t="s">
        <v>231</v>
      </c>
      <c r="E14" s="318" t="s">
        <v>229</v>
      </c>
      <c r="F14" s="319"/>
      <c r="G14" s="319" t="s">
        <v>230</v>
      </c>
      <c r="H14" s="327" t="s">
        <v>2</v>
      </c>
      <c r="I14" s="328"/>
      <c r="J14" s="329">
        <f>'[2]Invoeren'!N8</f>
        <v>0</v>
      </c>
      <c r="K14" s="330">
        <v>43.5289</v>
      </c>
      <c r="L14" s="324">
        <f>'[2]Invoeren'!AI8</f>
        <v>0</v>
      </c>
      <c r="M14" s="324">
        <f>'[2]Invoeren'!BC8</f>
        <v>0</v>
      </c>
      <c r="N14" s="324">
        <f>'[2]Invoeren'!BW8</f>
        <v>0</v>
      </c>
      <c r="O14" s="324">
        <f>'[2]Invoeren'!CQ8</f>
        <v>0</v>
      </c>
    </row>
    <row r="15" spans="1:15" ht="12.75">
      <c r="A15" s="325">
        <f>'[2]Invoeren'!B9</f>
        <v>1</v>
      </c>
      <c r="B15" s="326">
        <f>'[2]Invoeren'!A17</f>
        <v>11</v>
      </c>
      <c r="C15" s="317">
        <v>200002050</v>
      </c>
      <c r="D15" t="s">
        <v>232</v>
      </c>
      <c r="E15" s="318" t="s">
        <v>229</v>
      </c>
      <c r="F15" s="319"/>
      <c r="G15" s="319" t="s">
        <v>230</v>
      </c>
      <c r="H15" s="327" t="s">
        <v>2</v>
      </c>
      <c r="I15" s="328">
        <f>'[2]Invoeren'!M9</f>
        <v>0</v>
      </c>
      <c r="J15" s="329">
        <f>'[2]Invoeren'!N9</f>
        <v>0</v>
      </c>
      <c r="K15" s="330">
        <v>47.0667</v>
      </c>
      <c r="L15" s="324">
        <f>'[2]Invoeren'!AI9</f>
        <v>0</v>
      </c>
      <c r="M15" s="324">
        <f>'[2]Invoeren'!BC9</f>
        <v>0</v>
      </c>
      <c r="N15" s="324">
        <f>'[2]Invoeren'!BW9</f>
        <v>0</v>
      </c>
      <c r="O15" s="324">
        <f>'[2]Invoeren'!CQ9</f>
        <v>0</v>
      </c>
    </row>
    <row r="16" spans="1:15" ht="12.75">
      <c r="A16" s="325">
        <f>'[2]Invoeren'!B10</f>
        <v>1</v>
      </c>
      <c r="B16" s="326">
        <f>'[2]Invoeren'!A22</f>
        <v>16</v>
      </c>
      <c r="C16" s="46">
        <v>200202062</v>
      </c>
      <c r="D16" s="331" t="s">
        <v>233</v>
      </c>
      <c r="E16" s="332" t="s">
        <v>229</v>
      </c>
      <c r="F16" s="319"/>
      <c r="G16" s="319" t="s">
        <v>230</v>
      </c>
      <c r="H16" s="327" t="s">
        <v>2</v>
      </c>
      <c r="I16" s="328">
        <f>'[2]Invoeren'!M10</f>
        <v>0</v>
      </c>
      <c r="J16" s="329">
        <f>'[2]Invoeren'!N10</f>
        <v>0</v>
      </c>
      <c r="K16" s="330">
        <v>54.3956</v>
      </c>
      <c r="L16" s="324">
        <f>'[2]Invoeren'!AI10</f>
        <v>0</v>
      </c>
      <c r="M16" s="324">
        <f>'[2]Invoeren'!BC10</f>
        <v>0</v>
      </c>
      <c r="N16" s="324">
        <f>'[2]Invoeren'!BW10</f>
        <v>0</v>
      </c>
      <c r="O16" s="324">
        <f>'[2]Invoeren'!CQ10</f>
        <v>0</v>
      </c>
    </row>
    <row r="17" spans="1:15" ht="12" customHeight="1">
      <c r="A17" s="325">
        <f>'[2]Invoeren'!B11</f>
        <v>1</v>
      </c>
      <c r="B17" s="326">
        <f>'[2]Invoeren'!A8</f>
        <v>2</v>
      </c>
      <c r="C17" s="317">
        <v>200300796</v>
      </c>
      <c r="D17" t="s">
        <v>234</v>
      </c>
      <c r="E17" s="318" t="s">
        <v>235</v>
      </c>
      <c r="F17" s="319"/>
      <c r="G17" s="319" t="s">
        <v>230</v>
      </c>
      <c r="H17" s="327" t="s">
        <v>2</v>
      </c>
      <c r="I17" s="328">
        <f>'[2]Invoeren'!M11</f>
        <v>0</v>
      </c>
      <c r="J17" s="329">
        <f>'[2]Invoeren'!N11</f>
        <v>0</v>
      </c>
      <c r="K17" s="330">
        <v>45.6444</v>
      </c>
      <c r="L17" s="324">
        <f>'[2]Invoeren'!AI11</f>
        <v>0</v>
      </c>
      <c r="M17" s="324">
        <f>'[2]Invoeren'!BC11</f>
        <v>0</v>
      </c>
      <c r="N17" s="324">
        <f>'[2]Invoeren'!BW11</f>
        <v>0</v>
      </c>
      <c r="O17" s="324">
        <f>'[2]Invoeren'!CQ11</f>
        <v>0</v>
      </c>
    </row>
    <row r="18" spans="1:15" ht="12" customHeight="1">
      <c r="A18" s="325">
        <f>'[2]Invoeren'!B12</f>
        <v>1</v>
      </c>
      <c r="B18" s="326">
        <f>'[2]Invoeren'!A16</f>
        <v>10</v>
      </c>
      <c r="C18" s="317">
        <v>200300794</v>
      </c>
      <c r="D18" t="s">
        <v>236</v>
      </c>
      <c r="E18" s="318" t="s">
        <v>235</v>
      </c>
      <c r="F18" s="319"/>
      <c r="G18" s="319" t="s">
        <v>230</v>
      </c>
      <c r="H18" s="327" t="s">
        <v>2</v>
      </c>
      <c r="I18" s="328">
        <f>'[2]Invoeren'!M12</f>
        <v>0</v>
      </c>
      <c r="J18" s="329">
        <f>'[2]Invoeren'!N12</f>
        <v>0</v>
      </c>
      <c r="K18" s="330">
        <v>41.5823</v>
      </c>
      <c r="L18" s="324">
        <f>'[2]Invoeren'!AI12</f>
        <v>0</v>
      </c>
      <c r="M18" s="324">
        <f>'[2]Invoeren'!BC12</f>
        <v>0</v>
      </c>
      <c r="N18" s="324">
        <f>'[2]Invoeren'!BW12</f>
        <v>0</v>
      </c>
      <c r="O18" s="324">
        <f>'[2]Invoeren'!CQ12</f>
        <v>0</v>
      </c>
    </row>
    <row r="19" spans="1:15" ht="12" customHeight="1">
      <c r="A19" s="325">
        <f>'[2]Invoeren'!B13</f>
        <v>1</v>
      </c>
      <c r="B19" s="326">
        <f>'[2]Invoeren'!A19</f>
        <v>13</v>
      </c>
      <c r="C19" s="317">
        <v>200201940</v>
      </c>
      <c r="D19" t="s">
        <v>237</v>
      </c>
      <c r="E19" s="318" t="s">
        <v>235</v>
      </c>
      <c r="F19" s="319"/>
      <c r="G19" s="319" t="s">
        <v>230</v>
      </c>
      <c r="H19" s="327" t="s">
        <v>2</v>
      </c>
      <c r="I19" s="328">
        <f>'[2]Invoeren'!M13</f>
        <v>0</v>
      </c>
      <c r="J19" s="329">
        <f>'[2]Invoeren'!N13</f>
        <v>0</v>
      </c>
      <c r="K19" s="330">
        <v>44.1023</v>
      </c>
      <c r="L19" s="324">
        <f>'[2]Invoeren'!AI13</f>
        <v>0</v>
      </c>
      <c r="M19" s="324">
        <f>'[2]Invoeren'!BC13</f>
        <v>0</v>
      </c>
      <c r="N19" s="324">
        <f>'[2]Invoeren'!BW13</f>
        <v>0</v>
      </c>
      <c r="O19" s="324">
        <f>'[2]Invoeren'!CQ13</f>
        <v>0</v>
      </c>
    </row>
    <row r="20" spans="1:15" ht="12" customHeight="1">
      <c r="A20" s="325">
        <f>'[2]Invoeren'!B14</f>
        <v>1</v>
      </c>
      <c r="B20" s="326">
        <f>'[2]Invoeren'!A9</f>
        <v>3</v>
      </c>
      <c r="C20" s="317">
        <v>200201966</v>
      </c>
      <c r="D20" t="s">
        <v>238</v>
      </c>
      <c r="E20" s="318" t="s">
        <v>239</v>
      </c>
      <c r="F20" s="319"/>
      <c r="G20" s="319" t="s">
        <v>230</v>
      </c>
      <c r="H20" s="327" t="s">
        <v>2</v>
      </c>
      <c r="I20" s="328">
        <f>'[2]Invoeren'!M14</f>
        <v>0</v>
      </c>
      <c r="J20" s="329">
        <f>'[2]Invoeren'!N14</f>
        <v>0</v>
      </c>
      <c r="K20" s="330">
        <v>43.2223</v>
      </c>
      <c r="L20" s="324">
        <f>'[2]Invoeren'!AI14</f>
        <v>0</v>
      </c>
      <c r="M20" s="324">
        <f>'[2]Invoeren'!BC14</f>
        <v>0</v>
      </c>
      <c r="N20" s="324">
        <f>'[2]Invoeren'!BW14</f>
        <v>0</v>
      </c>
      <c r="O20" s="324">
        <f>'[2]Invoeren'!CQ14</f>
        <v>0</v>
      </c>
    </row>
    <row r="21" spans="1:15" ht="12" customHeight="1">
      <c r="A21" s="325">
        <f>'[2]Invoeren'!B15</f>
        <v>1</v>
      </c>
      <c r="B21" s="326">
        <f>'[2]Invoeren'!A12</f>
        <v>6</v>
      </c>
      <c r="C21" s="317">
        <v>200200990</v>
      </c>
      <c r="D21" t="s">
        <v>240</v>
      </c>
      <c r="E21" s="318" t="s">
        <v>239</v>
      </c>
      <c r="F21" s="319"/>
      <c r="G21" s="319" t="s">
        <v>230</v>
      </c>
      <c r="H21" s="327" t="s">
        <v>2</v>
      </c>
      <c r="I21" s="328">
        <f>'[2]Invoeren'!M15</f>
        <v>0</v>
      </c>
      <c r="J21" s="329">
        <f>'[2]Invoeren'!N15</f>
        <v>0</v>
      </c>
      <c r="K21" s="330">
        <v>40.7911</v>
      </c>
      <c r="L21" s="324">
        <f>'[2]Invoeren'!AI15</f>
        <v>0</v>
      </c>
      <c r="M21" s="324">
        <f>'[2]Invoeren'!BC15</f>
        <v>0</v>
      </c>
      <c r="N21" s="324">
        <f>'[2]Invoeren'!BW15</f>
        <v>0</v>
      </c>
      <c r="O21" s="324">
        <f>'[2]Invoeren'!CQ15</f>
        <v>0</v>
      </c>
    </row>
    <row r="22" spans="1:15" ht="12" customHeight="1">
      <c r="A22" s="325">
        <f>'[2]Invoeren'!B16</f>
        <v>1</v>
      </c>
      <c r="B22" s="326">
        <f>'[2]Invoeren'!A13</f>
        <v>7</v>
      </c>
      <c r="C22" s="317">
        <v>200201968</v>
      </c>
      <c r="D22" t="s">
        <v>241</v>
      </c>
      <c r="E22" s="318" t="s">
        <v>239</v>
      </c>
      <c r="F22" s="319"/>
      <c r="G22" s="319" t="s">
        <v>230</v>
      </c>
      <c r="H22" s="327" t="s">
        <v>2</v>
      </c>
      <c r="I22" s="328">
        <f>'[2]Invoeren'!M16</f>
        <v>0</v>
      </c>
      <c r="J22" s="329">
        <f>'[2]Invoeren'!N16</f>
        <v>0</v>
      </c>
      <c r="K22" s="330">
        <v>43.9821</v>
      </c>
      <c r="L22" s="324">
        <f>'[2]Invoeren'!AI16</f>
        <v>0</v>
      </c>
      <c r="M22" s="324">
        <f>'[2]Invoeren'!BC16</f>
        <v>0</v>
      </c>
      <c r="N22" s="324">
        <f>'[2]Invoeren'!BW16</f>
        <v>0</v>
      </c>
      <c r="O22" s="324">
        <f>'[2]Invoeren'!CQ16</f>
        <v>0</v>
      </c>
    </row>
    <row r="23" spans="1:15" ht="12" customHeight="1">
      <c r="A23" s="325">
        <f>'[2]Invoeren'!B17</f>
        <v>1</v>
      </c>
      <c r="B23" s="326">
        <f>'[2]Invoeren'!A20</f>
        <v>14</v>
      </c>
      <c r="C23" s="317">
        <v>200200074</v>
      </c>
      <c r="D23" t="s">
        <v>242</v>
      </c>
      <c r="E23" s="318" t="s">
        <v>239</v>
      </c>
      <c r="F23" s="319"/>
      <c r="G23" s="319" t="s">
        <v>230</v>
      </c>
      <c r="H23" s="327" t="s">
        <v>2</v>
      </c>
      <c r="I23" s="328">
        <f>'[2]Invoeren'!M17</f>
        <v>0</v>
      </c>
      <c r="J23" s="329">
        <f>'[2]Invoeren'!N17</f>
        <v>0</v>
      </c>
      <c r="K23" s="330">
        <v>45.8977</v>
      </c>
      <c r="L23" s="324">
        <f>'[2]Invoeren'!AI17</f>
        <v>0</v>
      </c>
      <c r="M23" s="324">
        <f>'[2]Invoeren'!BC17</f>
        <v>0</v>
      </c>
      <c r="N23" s="324">
        <f>'[2]Invoeren'!BW17</f>
        <v>0</v>
      </c>
      <c r="O23" s="324">
        <f>'[2]Invoeren'!CQ17</f>
        <v>0</v>
      </c>
    </row>
    <row r="24" spans="1:15" ht="12" customHeight="1">
      <c r="A24" s="325">
        <f>'[2]Invoeren'!B18</f>
        <v>1</v>
      </c>
      <c r="B24" s="326">
        <f>'[2]Invoeren'!A23</f>
        <v>17</v>
      </c>
      <c r="C24" s="317">
        <v>200201970</v>
      </c>
      <c r="D24" s="11" t="s">
        <v>243</v>
      </c>
      <c r="E24" s="318" t="s">
        <v>239</v>
      </c>
      <c r="F24" s="319"/>
      <c r="G24" s="319" t="s">
        <v>230</v>
      </c>
      <c r="H24" s="327" t="s">
        <v>2</v>
      </c>
      <c r="I24" s="328">
        <f>'[2]Invoeren'!M18</f>
        <v>0</v>
      </c>
      <c r="J24" s="329">
        <f>'[2]Invoeren'!N18</f>
        <v>0</v>
      </c>
      <c r="K24" s="330">
        <v>37.1688</v>
      </c>
      <c r="L24" s="324">
        <f>'[2]Invoeren'!AI18</f>
        <v>0</v>
      </c>
      <c r="M24" s="324">
        <f>'[2]Invoeren'!BC18</f>
        <v>0</v>
      </c>
      <c r="N24" s="324">
        <f>'[2]Invoeren'!BW18</f>
        <v>0</v>
      </c>
      <c r="O24" s="324">
        <f>'[2]Invoeren'!CQ18</f>
        <v>0</v>
      </c>
    </row>
    <row r="25" spans="1:15" ht="12" customHeight="1">
      <c r="A25" s="325">
        <f>'[2]Invoeren'!B19</f>
        <v>1</v>
      </c>
      <c r="B25" s="326">
        <f>'[2]Invoeren'!A25</f>
        <v>19</v>
      </c>
      <c r="C25" s="46">
        <v>200200444</v>
      </c>
      <c r="D25" s="331" t="s">
        <v>244</v>
      </c>
      <c r="E25" s="332" t="s">
        <v>239</v>
      </c>
      <c r="F25" s="319"/>
      <c r="G25" s="319" t="s">
        <v>230</v>
      </c>
      <c r="H25" s="327" t="s">
        <v>2</v>
      </c>
      <c r="I25" s="328">
        <f>'[2]Invoeren'!M19</f>
        <v>0</v>
      </c>
      <c r="J25" s="329">
        <f>'[2]Invoeren'!N19</f>
        <v>0</v>
      </c>
      <c r="K25" s="330">
        <v>47.16</v>
      </c>
      <c r="L25" s="324">
        <f>'[2]Invoeren'!AI19</f>
        <v>0</v>
      </c>
      <c r="M25" s="324">
        <f>'[2]Invoeren'!BC19</f>
        <v>0</v>
      </c>
      <c r="N25" s="324">
        <f>'[2]Invoeren'!BW19</f>
        <v>0</v>
      </c>
      <c r="O25" s="324">
        <f>'[2]Invoeren'!CQ19</f>
        <v>0</v>
      </c>
    </row>
    <row r="26" spans="1:15" ht="12" customHeight="1">
      <c r="A26" s="325">
        <f>'[2]Invoeren'!B20</f>
        <v>1</v>
      </c>
      <c r="B26" s="326">
        <f>'[2]Invoeren'!A14</f>
        <v>8</v>
      </c>
      <c r="C26" s="333">
        <v>200204222</v>
      </c>
      <c r="D26" s="334" t="s">
        <v>245</v>
      </c>
      <c r="E26" s="334" t="s">
        <v>246</v>
      </c>
      <c r="F26" s="334">
        <f>'[2]Invoeren'!$I157</f>
        <v>0</v>
      </c>
      <c r="G26" s="335" t="s">
        <v>230</v>
      </c>
      <c r="H26" s="327" t="s">
        <v>2</v>
      </c>
      <c r="I26" s="328">
        <f>'[2]Invoeren'!M20</f>
        <v>0</v>
      </c>
      <c r="J26" s="329">
        <f>'[2]Invoeren'!N20</f>
        <v>0</v>
      </c>
      <c r="K26" s="330">
        <v>42.5689</v>
      </c>
      <c r="L26" s="324">
        <f>'[2]Invoeren'!AI20</f>
        <v>0</v>
      </c>
      <c r="M26" s="324">
        <f>'[2]Invoeren'!BC20</f>
        <v>0</v>
      </c>
      <c r="N26" s="324">
        <f>'[2]Invoeren'!BW20</f>
        <v>0</v>
      </c>
      <c r="O26" s="324">
        <f>'[2]Invoeren'!CQ20</f>
        <v>0</v>
      </c>
    </row>
    <row r="27" spans="1:15" ht="12" customHeight="1">
      <c r="A27" s="325">
        <f>'[2]Invoeren'!B21</f>
        <v>1</v>
      </c>
      <c r="B27" s="326">
        <f>'[2]Invoeren'!A15</f>
        <v>9</v>
      </c>
      <c r="C27" s="333">
        <v>200201950</v>
      </c>
      <c r="D27" s="334" t="s">
        <v>247</v>
      </c>
      <c r="E27" s="334" t="s">
        <v>246</v>
      </c>
      <c r="F27" s="334">
        <f>'[2]Invoeren'!$I154</f>
        <v>0</v>
      </c>
      <c r="G27" s="335" t="s">
        <v>230</v>
      </c>
      <c r="H27" s="327" t="s">
        <v>2</v>
      </c>
      <c r="I27" s="328">
        <f>'[2]Invoeren'!M21</f>
        <v>0</v>
      </c>
      <c r="J27" s="329">
        <f>'[2]Invoeren'!N21</f>
        <v>0</v>
      </c>
      <c r="K27" s="330">
        <v>40.04</v>
      </c>
      <c r="L27" s="324">
        <f>'[2]Invoeren'!AI21</f>
        <v>0</v>
      </c>
      <c r="M27" s="324">
        <f>'[2]Invoeren'!BC21</f>
        <v>0</v>
      </c>
      <c r="N27" s="324">
        <f>'[2]Invoeren'!BW21</f>
        <v>0</v>
      </c>
      <c r="O27" s="324">
        <f>'[2]Invoeren'!CQ21</f>
        <v>0</v>
      </c>
    </row>
    <row r="28" spans="1:15" ht="12" customHeight="1">
      <c r="A28" s="325">
        <f>'[2]Invoeren'!B22</f>
        <v>1</v>
      </c>
      <c r="B28" s="326">
        <f>'[2]Invoeren'!A18</f>
        <v>12</v>
      </c>
      <c r="C28" s="333">
        <v>200204220</v>
      </c>
      <c r="D28" s="334" t="s">
        <v>248</v>
      </c>
      <c r="E28" s="334" t="s">
        <v>246</v>
      </c>
      <c r="F28" s="334">
        <f>'[2]Invoeren'!$I156</f>
        <v>0</v>
      </c>
      <c r="G28" s="335" t="s">
        <v>230</v>
      </c>
      <c r="H28" s="327" t="s">
        <v>2</v>
      </c>
      <c r="I28" s="328"/>
      <c r="J28" s="329">
        <f>'[2]Invoeren'!N22</f>
        <v>0</v>
      </c>
      <c r="K28" s="330">
        <v>42.9244</v>
      </c>
      <c r="L28" s="324">
        <f>'[2]Invoeren'!AI22</f>
        <v>0</v>
      </c>
      <c r="M28" s="324">
        <f>'[2]Invoeren'!BC22</f>
        <v>0</v>
      </c>
      <c r="N28" s="324">
        <f>'[2]Invoeren'!BW22</f>
        <v>0</v>
      </c>
      <c r="O28" s="324">
        <f>'[2]Invoeren'!CQ22</f>
        <v>0</v>
      </c>
    </row>
    <row r="29" spans="1:15" ht="12" customHeight="1">
      <c r="A29" s="325">
        <f>'[2]Invoeren'!B23</f>
        <v>1</v>
      </c>
      <c r="B29" s="326">
        <f>'[2]Invoeren'!A21</f>
        <v>15</v>
      </c>
      <c r="C29" s="333">
        <v>200201942</v>
      </c>
      <c r="D29" s="334" t="s">
        <v>249</v>
      </c>
      <c r="E29" s="334" t="s">
        <v>246</v>
      </c>
      <c r="F29" s="334">
        <f>'[2]Invoeren'!$I155</f>
        <v>0</v>
      </c>
      <c r="G29" s="335" t="s">
        <v>230</v>
      </c>
      <c r="H29" s="327" t="s">
        <v>2</v>
      </c>
      <c r="I29" s="328">
        <f>'[2]Invoeren'!M23</f>
        <v>0</v>
      </c>
      <c r="J29" s="329">
        <f>'[2]Invoeren'!N23</f>
        <v>0</v>
      </c>
      <c r="K29" s="330">
        <v>40.0712</v>
      </c>
      <c r="L29" s="324">
        <f>'[2]Invoeren'!AI23</f>
        <v>0</v>
      </c>
      <c r="M29" s="324">
        <f>'[2]Invoeren'!BC23</f>
        <v>0</v>
      </c>
      <c r="N29" s="324">
        <f>'[2]Invoeren'!BW23</f>
        <v>0</v>
      </c>
      <c r="O29" s="324">
        <f>'[2]Invoeren'!CQ23</f>
        <v>0</v>
      </c>
    </row>
    <row r="30" spans="1:15" ht="12" customHeight="1">
      <c r="A30" s="325">
        <f>'[2]Invoeren'!B24</f>
        <v>1</v>
      </c>
      <c r="B30" s="326">
        <f>'[2]Invoeren'!A11</f>
        <v>5</v>
      </c>
      <c r="C30" s="317">
        <v>200400742</v>
      </c>
      <c r="D30" t="s">
        <v>250</v>
      </c>
      <c r="E30" s="318" t="s">
        <v>251</v>
      </c>
      <c r="F30" s="319"/>
      <c r="G30" s="319" t="s">
        <v>230</v>
      </c>
      <c r="H30" s="327" t="s">
        <v>2</v>
      </c>
      <c r="I30" s="328">
        <f>'[2]Invoeren'!M24</f>
        <v>0</v>
      </c>
      <c r="J30" s="329">
        <f>'[2]Invoeren'!N24</f>
        <v>0</v>
      </c>
      <c r="K30" s="330">
        <v>44.3645</v>
      </c>
      <c r="L30" s="324">
        <f>'[2]Invoeren'!AI24</f>
        <v>0</v>
      </c>
      <c r="M30" s="324">
        <f>'[2]Invoeren'!BC24</f>
        <v>0</v>
      </c>
      <c r="N30" s="324">
        <f>'[2]Invoeren'!BW24</f>
        <v>0</v>
      </c>
      <c r="O30" s="324">
        <f>'[2]Invoeren'!CQ24</f>
        <v>0</v>
      </c>
    </row>
    <row r="31" spans="1:15" ht="12" customHeight="1">
      <c r="A31" s="325">
        <f>'[2]Invoeren'!B25</f>
        <v>1</v>
      </c>
      <c r="B31" s="326">
        <f>'[2]Invoeren'!A24</f>
        <v>18</v>
      </c>
      <c r="C31" s="317">
        <v>200301680</v>
      </c>
      <c r="D31" s="11" t="s">
        <v>252</v>
      </c>
      <c r="E31" s="318" t="s">
        <v>251</v>
      </c>
      <c r="F31" s="319"/>
      <c r="G31" s="319" t="s">
        <v>230</v>
      </c>
      <c r="H31" s="327" t="s">
        <v>2</v>
      </c>
      <c r="I31" s="328">
        <f>'[2]Invoeren'!M25</f>
        <v>0</v>
      </c>
      <c r="J31" s="329">
        <f>'[2]Invoeren'!N25</f>
        <v>0</v>
      </c>
      <c r="K31" s="330">
        <v>45.4533</v>
      </c>
      <c r="L31" s="324">
        <f>'[2]Invoeren'!AI25</f>
        <v>0</v>
      </c>
      <c r="M31" s="324">
        <f>'[2]Invoeren'!BC25</f>
        <v>0</v>
      </c>
      <c r="N31" s="324">
        <f>'[2]Invoeren'!BW25</f>
        <v>0</v>
      </c>
      <c r="O31" s="324">
        <f>'[2]Invoeren'!CQ25</f>
        <v>0</v>
      </c>
    </row>
    <row r="32" spans="1:15" ht="12" customHeight="1">
      <c r="A32" s="325">
        <f>'[2]Invoeren'!B26</f>
        <v>1</v>
      </c>
      <c r="B32" s="326"/>
      <c r="C32" s="46"/>
      <c r="D32" s="331"/>
      <c r="E32" s="332"/>
      <c r="F32" s="319"/>
      <c r="G32" s="319"/>
      <c r="H32" s="327"/>
      <c r="I32" s="328"/>
      <c r="J32" s="329"/>
      <c r="K32" s="330"/>
      <c r="L32" s="324">
        <f>'[2]Invoeren'!AI26</f>
        <v>0</v>
      </c>
      <c r="M32" s="324">
        <f>'[2]Invoeren'!BC26</f>
        <v>0</v>
      </c>
      <c r="N32" s="324">
        <f>'[2]Invoeren'!BW26</f>
        <v>0</v>
      </c>
      <c r="O32" s="324">
        <f>'[2]Invoeren'!CQ26</f>
        <v>0</v>
      </c>
    </row>
    <row r="33" spans="1:15" ht="12" customHeight="1">
      <c r="A33" s="325">
        <f>'[2]Invoeren'!B27</f>
        <v>1</v>
      </c>
      <c r="B33" s="326">
        <f>'[2]Invoeren'!A26</f>
        <v>20</v>
      </c>
      <c r="C33" s="46">
        <v>199701944</v>
      </c>
      <c r="D33" s="331" t="s">
        <v>253</v>
      </c>
      <c r="E33" s="318" t="s">
        <v>254</v>
      </c>
      <c r="F33" s="319"/>
      <c r="G33" s="319" t="s">
        <v>230</v>
      </c>
      <c r="H33" s="327">
        <f>'[2]Invoeren'!L8</f>
        <v>0</v>
      </c>
      <c r="I33" s="328">
        <f>'[2]Invoeren'!M26</f>
        <v>0</v>
      </c>
      <c r="J33" s="329">
        <f>'[2]Invoeren'!N26</f>
        <v>0</v>
      </c>
      <c r="K33" s="330">
        <f>'[2]Invoeren'!$C26</f>
        <v>0</v>
      </c>
      <c r="L33" s="324">
        <f>'[2]Invoeren'!AI27</f>
        <v>0</v>
      </c>
      <c r="M33" s="324">
        <f>'[2]Invoeren'!BC27</f>
        <v>0</v>
      </c>
      <c r="N33" s="324">
        <f>'[2]Invoeren'!BW27</f>
        <v>0</v>
      </c>
      <c r="O33" s="324">
        <f>'[2]Invoeren'!CQ27</f>
        <v>0</v>
      </c>
    </row>
    <row r="34" spans="1:15" ht="12" customHeight="1">
      <c r="A34" s="325">
        <f>'[2]Invoeren'!B28</f>
        <v>1</v>
      </c>
      <c r="B34" s="326">
        <f>'[2]Invoeren'!A27</f>
        <v>21</v>
      </c>
      <c r="C34" s="317">
        <v>200200992</v>
      </c>
      <c r="D34" t="s">
        <v>255</v>
      </c>
      <c r="E34" s="318" t="s">
        <v>239</v>
      </c>
      <c r="F34" s="319"/>
      <c r="G34" s="319" t="s">
        <v>230</v>
      </c>
      <c r="H34" s="327">
        <f>'[2]Invoeren'!L9</f>
        <v>0</v>
      </c>
      <c r="I34" s="328">
        <f>'[2]Invoeren'!M27</f>
        <v>0</v>
      </c>
      <c r="J34" s="329">
        <f>'[2]Invoeren'!N27</f>
        <v>0</v>
      </c>
      <c r="K34" s="330">
        <f>'[2]Invoeren'!$C27</f>
        <v>0</v>
      </c>
      <c r="L34" s="324">
        <f>'[2]Invoeren'!AI28</f>
        <v>0</v>
      </c>
      <c r="M34" s="324">
        <f>'[2]Invoeren'!BC28</f>
        <v>0</v>
      </c>
      <c r="N34" s="324">
        <f>'[2]Invoeren'!BW28</f>
        <v>0</v>
      </c>
      <c r="O34" s="324">
        <f>'[2]Invoeren'!CQ28</f>
        <v>0</v>
      </c>
    </row>
    <row r="35" spans="1:15" ht="12" customHeight="1">
      <c r="A35" s="325">
        <f>'[2]Invoeren'!B29</f>
        <v>1</v>
      </c>
      <c r="B35" s="326">
        <f>'[2]Invoeren'!A28</f>
        <v>22</v>
      </c>
      <c r="C35" s="317">
        <v>200203200</v>
      </c>
      <c r="D35" t="s">
        <v>256</v>
      </c>
      <c r="E35" s="318" t="s">
        <v>254</v>
      </c>
      <c r="F35" s="319"/>
      <c r="G35" s="319" t="s">
        <v>230</v>
      </c>
      <c r="H35" s="327">
        <f>'[2]Invoeren'!L10</f>
        <v>0</v>
      </c>
      <c r="I35" s="328"/>
      <c r="J35" s="329">
        <f>'[2]Invoeren'!N28</f>
        <v>0</v>
      </c>
      <c r="K35" s="330">
        <f>'[2]Invoeren'!$C28</f>
        <v>0</v>
      </c>
      <c r="L35" s="324">
        <f>'[2]Invoeren'!AI29</f>
        <v>0</v>
      </c>
      <c r="M35" s="324">
        <f>'[2]Invoeren'!BC29</f>
        <v>0</v>
      </c>
      <c r="N35" s="324">
        <f>'[2]Invoeren'!BW29</f>
        <v>0</v>
      </c>
      <c r="O35" s="324">
        <f>'[2]Invoeren'!CQ29</f>
        <v>0</v>
      </c>
    </row>
    <row r="36" spans="1:15" ht="12" customHeight="1">
      <c r="A36" s="325">
        <f>'[2]Invoeren'!B30</f>
        <v>1</v>
      </c>
      <c r="B36" s="326">
        <f>'[2]Invoeren'!A29</f>
        <v>23</v>
      </c>
      <c r="C36" s="317">
        <v>2001</v>
      </c>
      <c r="D36" t="s">
        <v>257</v>
      </c>
      <c r="E36" s="318" t="s">
        <v>235</v>
      </c>
      <c r="F36" s="319"/>
      <c r="G36" s="319" t="s">
        <v>230</v>
      </c>
      <c r="H36" s="327">
        <f>'[2]Invoeren'!L11</f>
        <v>0</v>
      </c>
      <c r="I36" s="328">
        <f>'[2]Invoeren'!M29</f>
        <v>0</v>
      </c>
      <c r="J36" s="329">
        <f>'[2]Invoeren'!N29</f>
        <v>0</v>
      </c>
      <c r="K36" s="330">
        <f>'[2]Invoeren'!$C29</f>
        <v>0</v>
      </c>
      <c r="L36" s="324">
        <f>'[2]Invoeren'!AI30</f>
        <v>0</v>
      </c>
      <c r="M36" s="324">
        <f>'[2]Invoeren'!BC30</f>
        <v>0</v>
      </c>
      <c r="N36" s="324">
        <f>'[2]Invoeren'!BW30</f>
        <v>0</v>
      </c>
      <c r="O36" s="324">
        <f>'[2]Invoeren'!CQ30</f>
        <v>0</v>
      </c>
    </row>
    <row r="37" spans="1:15" ht="12" customHeight="1">
      <c r="A37" s="325">
        <f>'[2]Invoeren'!B31</f>
        <v>1</v>
      </c>
      <c r="B37" s="326">
        <f>'[2]Invoeren'!A30</f>
        <v>24</v>
      </c>
      <c r="C37" s="46">
        <v>199605608</v>
      </c>
      <c r="D37" s="331" t="s">
        <v>258</v>
      </c>
      <c r="E37" s="332" t="s">
        <v>229</v>
      </c>
      <c r="F37" s="319"/>
      <c r="G37" s="319" t="s">
        <v>230</v>
      </c>
      <c r="H37" s="327">
        <f>'[2]Invoeren'!L12</f>
        <v>0</v>
      </c>
      <c r="I37" s="328">
        <f>'[2]Invoeren'!M30</f>
        <v>0</v>
      </c>
      <c r="J37" s="329">
        <f>'[2]Invoeren'!N30</f>
        <v>0</v>
      </c>
      <c r="K37" s="330">
        <f>'[2]Invoeren'!$C30</f>
        <v>0</v>
      </c>
      <c r="L37" s="324">
        <f>'[2]Invoeren'!AI31</f>
        <v>0</v>
      </c>
      <c r="M37" s="324">
        <f>'[2]Invoeren'!BC31</f>
        <v>0</v>
      </c>
      <c r="N37" s="324">
        <f>'[2]Invoeren'!BW31</f>
        <v>0</v>
      </c>
      <c r="O37" s="324">
        <f>'[2]Invoeren'!CQ31</f>
        <v>0</v>
      </c>
    </row>
    <row r="38" spans="1:15" ht="12" customHeight="1">
      <c r="A38" s="325">
        <f>'[2]Invoeren'!B32</f>
        <v>1</v>
      </c>
      <c r="B38" s="326">
        <f>'[2]Invoeren'!A31</f>
        <v>25</v>
      </c>
      <c r="C38" s="46">
        <v>199005772</v>
      </c>
      <c r="D38" s="331" t="s">
        <v>259</v>
      </c>
      <c r="E38" s="318" t="s">
        <v>254</v>
      </c>
      <c r="F38" s="319"/>
      <c r="G38" s="319" t="s">
        <v>230</v>
      </c>
      <c r="H38" s="327">
        <f>'[2]Invoeren'!L13</f>
        <v>0</v>
      </c>
      <c r="I38" s="328">
        <f>'[2]Invoeren'!M31</f>
        <v>0</v>
      </c>
      <c r="J38" s="329">
        <f>'[2]Invoeren'!N31</f>
        <v>0</v>
      </c>
      <c r="K38" s="330">
        <f>'[2]Invoeren'!$C31</f>
        <v>0</v>
      </c>
      <c r="L38" s="324">
        <f>'[2]Invoeren'!AI32</f>
        <v>0</v>
      </c>
      <c r="M38" s="324">
        <f>'[2]Invoeren'!BC32</f>
        <v>0</v>
      </c>
      <c r="N38" s="324">
        <f>'[2]Invoeren'!BW32</f>
        <v>0</v>
      </c>
      <c r="O38" s="324">
        <f>'[2]Invoeren'!CQ32</f>
        <v>0</v>
      </c>
    </row>
    <row r="39" spans="1:15" ht="12" customHeight="1">
      <c r="A39" s="325">
        <f>'[2]Invoeren'!B33</f>
        <v>1</v>
      </c>
      <c r="B39" s="326">
        <f>'[2]Invoeren'!A32</f>
        <v>26</v>
      </c>
      <c r="C39" s="317">
        <v>200105098</v>
      </c>
      <c r="D39" t="s">
        <v>260</v>
      </c>
      <c r="E39" s="318" t="s">
        <v>239</v>
      </c>
      <c r="F39" s="319"/>
      <c r="G39" s="319" t="s">
        <v>230</v>
      </c>
      <c r="H39" s="327">
        <f>'[2]Invoeren'!L14</f>
        <v>0</v>
      </c>
      <c r="I39" s="328">
        <f>'[2]Invoeren'!M32</f>
        <v>0</v>
      </c>
      <c r="J39" s="329">
        <f>'[2]Invoeren'!N32</f>
        <v>0</v>
      </c>
      <c r="K39" s="330">
        <f>'[2]Invoeren'!$C32</f>
        <v>0</v>
      </c>
      <c r="L39" s="324">
        <f>'[2]Invoeren'!AI33</f>
        <v>0</v>
      </c>
      <c r="M39" s="324">
        <f>'[2]Invoeren'!BC33</f>
        <v>0</v>
      </c>
      <c r="N39" s="324">
        <f>'[2]Invoeren'!BW33</f>
        <v>0</v>
      </c>
      <c r="O39" s="324">
        <f>'[2]Invoeren'!CQ33</f>
        <v>0</v>
      </c>
    </row>
    <row r="40" spans="1:15" ht="12" customHeight="1">
      <c r="A40" s="325">
        <f>'[2]Invoeren'!B34</f>
        <v>1</v>
      </c>
      <c r="B40" s="326">
        <f>'[2]Invoeren'!A33</f>
        <v>27</v>
      </c>
      <c r="C40" s="317">
        <v>200301728</v>
      </c>
      <c r="D40" t="s">
        <v>261</v>
      </c>
      <c r="E40" s="318" t="s">
        <v>239</v>
      </c>
      <c r="F40" s="319"/>
      <c r="G40" s="319" t="s">
        <v>230</v>
      </c>
      <c r="H40" s="327">
        <f>'[2]Invoeren'!L15</f>
        <v>0</v>
      </c>
      <c r="I40" s="328">
        <f>'[2]Invoeren'!M33</f>
        <v>0</v>
      </c>
      <c r="J40" s="329">
        <f>'[2]Invoeren'!N33</f>
        <v>0</v>
      </c>
      <c r="K40" s="330">
        <f>'[2]Invoeren'!$C33</f>
        <v>0</v>
      </c>
      <c r="L40" s="324">
        <f>'[2]Invoeren'!AI34</f>
        <v>0</v>
      </c>
      <c r="M40" s="324">
        <f>'[2]Invoeren'!BC34</f>
        <v>0</v>
      </c>
      <c r="N40" s="324">
        <f>'[2]Invoeren'!BW34</f>
        <v>0</v>
      </c>
      <c r="O40" s="324">
        <f>'[2]Invoeren'!CQ34</f>
        <v>0</v>
      </c>
    </row>
    <row r="41" spans="1:15" ht="12" customHeight="1">
      <c r="A41" s="325">
        <f>'[2]Invoeren'!B35</f>
        <v>1</v>
      </c>
      <c r="B41" s="326">
        <f>'[2]Invoeren'!A34</f>
        <v>28</v>
      </c>
      <c r="C41" s="46">
        <v>199203274</v>
      </c>
      <c r="D41" s="331" t="s">
        <v>262</v>
      </c>
      <c r="E41" s="318" t="s">
        <v>254</v>
      </c>
      <c r="F41" s="319"/>
      <c r="G41" s="319" t="s">
        <v>230</v>
      </c>
      <c r="H41" s="327">
        <f>'[2]Invoeren'!L17</f>
        <v>0</v>
      </c>
      <c r="I41" s="328">
        <f>'[2]Invoeren'!M34</f>
        <v>0</v>
      </c>
      <c r="J41" s="329">
        <f>'[2]Invoeren'!N34</f>
        <v>0</v>
      </c>
      <c r="K41" s="330">
        <f>'[2]Invoeren'!$C34</f>
        <v>0</v>
      </c>
      <c r="L41" s="324">
        <f>'[2]Invoeren'!AI35</f>
        <v>0</v>
      </c>
      <c r="M41" s="324">
        <f>'[2]Invoeren'!BC35</f>
        <v>0</v>
      </c>
      <c r="N41" s="324">
        <f>'[2]Invoeren'!BW35</f>
        <v>0</v>
      </c>
      <c r="O41" s="324">
        <f>'[2]Invoeren'!CQ35</f>
        <v>0</v>
      </c>
    </row>
    <row r="42" spans="1:15" ht="12" customHeight="1">
      <c r="A42" s="325">
        <f>'[2]Invoeren'!B36</f>
        <v>1</v>
      </c>
      <c r="B42" s="326">
        <f>'[2]Invoeren'!A35</f>
        <v>29</v>
      </c>
      <c r="C42" s="317">
        <v>199900010</v>
      </c>
      <c r="D42" s="336" t="s">
        <v>263</v>
      </c>
      <c r="E42" s="11" t="s">
        <v>264</v>
      </c>
      <c r="F42" s="319"/>
      <c r="G42" s="22"/>
      <c r="H42" s="327">
        <f>'[2]Invoeren'!L18</f>
        <v>0</v>
      </c>
      <c r="I42" s="328"/>
      <c r="J42" s="329">
        <f>'[2]Invoeren'!N35</f>
        <v>0</v>
      </c>
      <c r="K42" s="330">
        <f>'[2]Invoeren'!$C35</f>
        <v>0</v>
      </c>
      <c r="L42" s="324">
        <f>'[2]Invoeren'!AI36</f>
        <v>0</v>
      </c>
      <c r="M42" s="324">
        <f>'[2]Invoeren'!BC36</f>
        <v>0</v>
      </c>
      <c r="N42" s="324">
        <f>'[2]Invoeren'!BW36</f>
        <v>0</v>
      </c>
      <c r="O42" s="324">
        <f>'[2]Invoeren'!CQ36</f>
        <v>0</v>
      </c>
    </row>
    <row r="43" spans="1:15" ht="12" customHeight="1">
      <c r="A43" s="325">
        <f>'[2]Invoeren'!B37</f>
        <v>1</v>
      </c>
      <c r="B43" s="326">
        <f>'[2]Invoeren'!A36</f>
        <v>30</v>
      </c>
      <c r="C43" s="317">
        <v>200500724</v>
      </c>
      <c r="D43" t="s">
        <v>265</v>
      </c>
      <c r="E43" s="318" t="s">
        <v>251</v>
      </c>
      <c r="F43" s="319"/>
      <c r="G43" s="319" t="s">
        <v>230</v>
      </c>
      <c r="H43" s="327">
        <f>'[2]Invoeren'!L19</f>
        <v>0</v>
      </c>
      <c r="I43" s="328">
        <f>'[2]Invoeren'!M36</f>
        <v>0</v>
      </c>
      <c r="J43" s="329">
        <f>'[2]Invoeren'!N36</f>
        <v>0</v>
      </c>
      <c r="K43" s="330">
        <f>'[2]Invoeren'!$C36</f>
        <v>0</v>
      </c>
      <c r="L43" s="324">
        <f>'[2]Invoeren'!AI37</f>
        <v>0</v>
      </c>
      <c r="M43" s="324">
        <f>'[2]Invoeren'!BC37</f>
        <v>0</v>
      </c>
      <c r="N43" s="324">
        <f>'[2]Invoeren'!BW37</f>
        <v>0</v>
      </c>
      <c r="O43" s="324">
        <f>'[2]Invoeren'!CQ37</f>
        <v>0</v>
      </c>
    </row>
    <row r="44" spans="1:15" ht="12" customHeight="1">
      <c r="A44" s="325">
        <f>'[2]Invoeren'!B38</f>
        <v>1</v>
      </c>
      <c r="B44" s="326">
        <f>'[2]Invoeren'!A37</f>
        <v>31</v>
      </c>
      <c r="C44" s="46">
        <v>200004726</v>
      </c>
      <c r="D44" s="331" t="s">
        <v>266</v>
      </c>
      <c r="E44" s="318" t="s">
        <v>254</v>
      </c>
      <c r="F44" s="319"/>
      <c r="G44" s="319" t="s">
        <v>230</v>
      </c>
      <c r="H44" s="327">
        <f>'[2]Invoeren'!L20</f>
        <v>0</v>
      </c>
      <c r="I44" s="328">
        <f>'[2]Invoeren'!M37</f>
        <v>0</v>
      </c>
      <c r="J44" s="329">
        <f>'[2]Invoeren'!N37</f>
        <v>0</v>
      </c>
      <c r="K44" s="330">
        <f>'[2]Invoeren'!$C37</f>
        <v>0</v>
      </c>
      <c r="L44" s="324">
        <f>'[2]Invoeren'!AI38</f>
        <v>0</v>
      </c>
      <c r="M44" s="324">
        <f>'[2]Invoeren'!BC38</f>
        <v>0</v>
      </c>
      <c r="N44" s="324">
        <f>'[2]Invoeren'!BW38</f>
        <v>0</v>
      </c>
      <c r="O44" s="324">
        <f>'[2]Invoeren'!CQ38</f>
        <v>0</v>
      </c>
    </row>
    <row r="45" spans="1:15" ht="12" customHeight="1">
      <c r="A45" s="325">
        <f>'[2]Invoeren'!B39</f>
        <v>1</v>
      </c>
      <c r="B45" s="326">
        <f>'[2]Invoeren'!A38</f>
        <v>32</v>
      </c>
      <c r="C45" s="337">
        <v>200101356</v>
      </c>
      <c r="D45" s="338" t="s">
        <v>267</v>
      </c>
      <c r="E45" s="318" t="s">
        <v>254</v>
      </c>
      <c r="F45" s="319"/>
      <c r="G45" s="339" t="s">
        <v>230</v>
      </c>
      <c r="H45" s="327">
        <f>'[2]Invoeren'!L21</f>
        <v>0</v>
      </c>
      <c r="I45" s="328"/>
      <c r="J45" s="329">
        <f>'[2]Invoeren'!N38</f>
        <v>0</v>
      </c>
      <c r="K45" s="330">
        <f>'[2]Invoeren'!$C38</f>
        <v>0</v>
      </c>
      <c r="L45" s="324">
        <f>'[2]Invoeren'!AI39</f>
        <v>0</v>
      </c>
      <c r="M45" s="324">
        <f>'[2]Invoeren'!BC39</f>
        <v>0</v>
      </c>
      <c r="N45" s="324">
        <f>'[2]Invoeren'!BW39</f>
        <v>0</v>
      </c>
      <c r="O45" s="324">
        <f>'[2]Invoeren'!CQ39</f>
        <v>0</v>
      </c>
    </row>
    <row r="46" spans="1:15" ht="12" customHeight="1">
      <c r="A46" s="325">
        <f>'[2]Invoeren'!B40</f>
        <v>1</v>
      </c>
      <c r="B46" s="326">
        <f>'[2]Invoeren'!A39</f>
        <v>33</v>
      </c>
      <c r="C46" s="46">
        <v>199703694</v>
      </c>
      <c r="D46" s="331" t="s">
        <v>268</v>
      </c>
      <c r="E46" s="318" t="s">
        <v>239</v>
      </c>
      <c r="F46" s="319"/>
      <c r="G46" s="319" t="s">
        <v>230</v>
      </c>
      <c r="H46" s="327">
        <f>'[2]Invoeren'!L23</f>
        <v>0</v>
      </c>
      <c r="I46" s="328">
        <f>'[2]Invoeren'!M39</f>
        <v>0</v>
      </c>
      <c r="J46" s="329">
        <f>'[2]Invoeren'!N39</f>
        <v>0</v>
      </c>
      <c r="K46" s="330">
        <f>'[2]Invoeren'!$C39</f>
        <v>0</v>
      </c>
      <c r="L46" s="324">
        <f>'[2]Invoeren'!AI40</f>
        <v>0</v>
      </c>
      <c r="M46" s="324">
        <f>'[2]Invoeren'!BC40</f>
        <v>0</v>
      </c>
      <c r="N46" s="324">
        <f>'[2]Invoeren'!BW40</f>
        <v>0</v>
      </c>
      <c r="O46" s="324">
        <f>'[2]Invoeren'!CQ40</f>
        <v>0</v>
      </c>
    </row>
    <row r="47" spans="1:15" ht="12" customHeight="1">
      <c r="A47" s="325">
        <f>'[2]Invoeren'!B41</f>
        <v>1</v>
      </c>
      <c r="B47" s="326">
        <f>'[2]Invoeren'!A40</f>
        <v>34</v>
      </c>
      <c r="C47" s="46">
        <v>200101358</v>
      </c>
      <c r="D47" s="331" t="s">
        <v>269</v>
      </c>
      <c r="E47" s="318" t="s">
        <v>254</v>
      </c>
      <c r="F47" s="319"/>
      <c r="G47" s="319" t="s">
        <v>230</v>
      </c>
      <c r="H47" s="327">
        <f>'[2]Invoeren'!L24</f>
        <v>0</v>
      </c>
      <c r="I47" s="328">
        <f>'[2]Invoeren'!M40</f>
        <v>0</v>
      </c>
      <c r="J47" s="329">
        <f>'[2]Invoeren'!N40</f>
        <v>0</v>
      </c>
      <c r="K47" s="330">
        <f>'[2]Invoeren'!$C40</f>
        <v>0</v>
      </c>
      <c r="L47" s="324">
        <f>'[2]Invoeren'!AI41</f>
        <v>0</v>
      </c>
      <c r="M47" s="324">
        <f>'[2]Invoeren'!BC41</f>
        <v>0</v>
      </c>
      <c r="N47" s="324">
        <f>'[2]Invoeren'!BW41</f>
        <v>0</v>
      </c>
      <c r="O47" s="324">
        <f>'[2]Invoeren'!CQ41</f>
        <v>0</v>
      </c>
    </row>
    <row r="48" spans="1:15" ht="12" customHeight="1">
      <c r="A48" s="325">
        <f>'[2]Invoeren'!B42</f>
        <v>1</v>
      </c>
      <c r="B48" s="326">
        <f>'[2]Invoeren'!A41</f>
        <v>35</v>
      </c>
      <c r="C48" s="317"/>
      <c r="D48" t="s">
        <v>270</v>
      </c>
      <c r="E48" s="318" t="s">
        <v>239</v>
      </c>
      <c r="F48" s="319"/>
      <c r="G48" s="319" t="s">
        <v>230</v>
      </c>
      <c r="H48" s="327">
        <f>'[2]Invoeren'!L25</f>
        <v>0</v>
      </c>
      <c r="I48" s="328">
        <f>'[2]Invoeren'!M41</f>
        <v>0</v>
      </c>
      <c r="J48" s="329">
        <f>'[2]Invoeren'!N41</f>
        <v>0</v>
      </c>
      <c r="K48" s="330">
        <f>'[2]Invoeren'!$C41</f>
        <v>0</v>
      </c>
      <c r="L48" s="324">
        <f>'[2]Invoeren'!AI42</f>
        <v>0</v>
      </c>
      <c r="M48" s="324">
        <f>'[2]Invoeren'!BC42</f>
        <v>0</v>
      </c>
      <c r="N48" s="324">
        <f>'[2]Invoeren'!BW42</f>
        <v>0</v>
      </c>
      <c r="O48" s="324">
        <f>'[2]Invoeren'!CQ42</f>
        <v>0</v>
      </c>
    </row>
    <row r="49" spans="1:15" ht="12" customHeight="1">
      <c r="A49" s="325">
        <f>'[2]Invoeren'!B43</f>
        <v>1</v>
      </c>
      <c r="B49" s="326">
        <f>'[2]Invoeren'!A42</f>
        <v>36</v>
      </c>
      <c r="C49" s="317">
        <v>200006036</v>
      </c>
      <c r="D49" t="s">
        <v>271</v>
      </c>
      <c r="E49" s="318" t="s">
        <v>239</v>
      </c>
      <c r="F49" s="319"/>
      <c r="G49" s="319" t="s">
        <v>230</v>
      </c>
      <c r="H49" s="327">
        <f>'[2]Invoeren'!L26</f>
        <v>0</v>
      </c>
      <c r="I49" s="328">
        <f>'[2]Invoeren'!M42</f>
        <v>0</v>
      </c>
      <c r="J49" s="329">
        <f>'[2]Invoeren'!N42</f>
        <v>0</v>
      </c>
      <c r="K49" s="330">
        <f>'[2]Invoeren'!$C42</f>
        <v>0</v>
      </c>
      <c r="L49" s="324">
        <f>'[2]Invoeren'!AI43</f>
        <v>0</v>
      </c>
      <c r="M49" s="324">
        <f>'[2]Invoeren'!BC43</f>
        <v>0</v>
      </c>
      <c r="N49" s="324">
        <f>'[2]Invoeren'!BW43</f>
        <v>0</v>
      </c>
      <c r="O49" s="324">
        <f>'[2]Invoeren'!CQ43</f>
        <v>0</v>
      </c>
    </row>
    <row r="50" spans="1:15" ht="12" customHeight="1">
      <c r="A50" s="325">
        <f>'[2]Invoeren'!B44</f>
        <v>1</v>
      </c>
      <c r="B50" s="326">
        <f>'[2]Invoeren'!A43</f>
        <v>37</v>
      </c>
      <c r="C50" s="46">
        <v>200003620</v>
      </c>
      <c r="D50" s="331" t="s">
        <v>272</v>
      </c>
      <c r="E50" s="332" t="s">
        <v>239</v>
      </c>
      <c r="F50" s="319"/>
      <c r="G50" s="319" t="s">
        <v>230</v>
      </c>
      <c r="H50" s="327">
        <f>'[2]Invoeren'!L28</f>
        <v>0</v>
      </c>
      <c r="I50" s="328">
        <f>'[2]Invoeren'!M43</f>
        <v>0</v>
      </c>
      <c r="J50" s="329">
        <f>'[2]Invoeren'!N43</f>
        <v>0</v>
      </c>
      <c r="K50" s="330">
        <f>'[2]Invoeren'!$C43</f>
        <v>0</v>
      </c>
      <c r="L50" s="324">
        <f>'[2]Invoeren'!AI44</f>
        <v>0</v>
      </c>
      <c r="M50" s="324">
        <f>'[2]Invoeren'!BC44</f>
        <v>0</v>
      </c>
      <c r="N50" s="324">
        <f>'[2]Invoeren'!BW44</f>
        <v>0</v>
      </c>
      <c r="O50" s="324">
        <f>'[2]Invoeren'!CQ44</f>
        <v>0</v>
      </c>
    </row>
    <row r="51" spans="1:15" ht="12" customHeight="1">
      <c r="A51" s="325">
        <f>'[2]Invoeren'!B45</f>
        <v>1</v>
      </c>
      <c r="B51" s="326">
        <f>'[2]Invoeren'!A44</f>
        <v>38</v>
      </c>
      <c r="C51" s="46">
        <v>199701960</v>
      </c>
      <c r="D51" s="331" t="s">
        <v>273</v>
      </c>
      <c r="E51" s="318" t="s">
        <v>239</v>
      </c>
      <c r="F51" s="319"/>
      <c r="G51" s="319" t="s">
        <v>230</v>
      </c>
      <c r="H51" s="327">
        <f>'[2]Invoeren'!L29</f>
        <v>0</v>
      </c>
      <c r="I51" s="328">
        <f>'[2]Invoeren'!M44</f>
        <v>0</v>
      </c>
      <c r="J51" s="329">
        <f>'[2]Invoeren'!N44</f>
        <v>0</v>
      </c>
      <c r="K51" s="330">
        <f>'[2]Invoeren'!$C44</f>
        <v>0</v>
      </c>
      <c r="L51" s="324">
        <f>'[2]Invoeren'!AI45</f>
        <v>0</v>
      </c>
      <c r="M51" s="324">
        <f>'[2]Invoeren'!BC45</f>
        <v>0</v>
      </c>
      <c r="N51" s="324">
        <f>'[2]Invoeren'!BW45</f>
        <v>0</v>
      </c>
      <c r="O51" s="324">
        <f>'[2]Invoeren'!CQ45</f>
        <v>0</v>
      </c>
    </row>
    <row r="52" spans="1:15" ht="12" customHeight="1">
      <c r="A52" s="325">
        <f>'[2]Invoeren'!B46</f>
        <v>1</v>
      </c>
      <c r="B52" s="326">
        <f>'[2]Invoeren'!A45</f>
        <v>39</v>
      </c>
      <c r="C52" s="317">
        <v>200204426</v>
      </c>
      <c r="D52" t="s">
        <v>274</v>
      </c>
      <c r="E52" s="318" t="s">
        <v>254</v>
      </c>
      <c r="F52" s="319"/>
      <c r="G52" s="319" t="s">
        <v>230</v>
      </c>
      <c r="H52" s="327">
        <f>'[2]Invoeren'!L30</f>
        <v>0</v>
      </c>
      <c r="I52" s="328">
        <f>'[2]Invoeren'!M45</f>
        <v>0</v>
      </c>
      <c r="J52" s="329">
        <f>'[2]Invoeren'!N45</f>
        <v>0</v>
      </c>
      <c r="K52" s="330">
        <f>'[2]Invoeren'!$C45</f>
        <v>0</v>
      </c>
      <c r="L52" s="324">
        <f>'[2]Invoeren'!AI46</f>
        <v>0</v>
      </c>
      <c r="M52" s="324">
        <f>'[2]Invoeren'!BC46</f>
        <v>0</v>
      </c>
      <c r="N52" s="324">
        <f>'[2]Invoeren'!BW46</f>
        <v>0</v>
      </c>
      <c r="O52" s="324">
        <f>'[2]Invoeren'!CQ46</f>
        <v>0</v>
      </c>
    </row>
    <row r="53" spans="1:15" ht="12" customHeight="1">
      <c r="A53" s="325">
        <f>'[2]Invoeren'!B47</f>
        <v>1</v>
      </c>
      <c r="B53" s="326">
        <f>'[2]Invoeren'!A46</f>
        <v>40</v>
      </c>
      <c r="C53" s="46">
        <v>199604914</v>
      </c>
      <c r="D53" s="331" t="s">
        <v>275</v>
      </c>
      <c r="E53" s="318" t="s">
        <v>254</v>
      </c>
      <c r="F53" s="319"/>
      <c r="G53" s="319" t="s">
        <v>230</v>
      </c>
      <c r="H53" s="327">
        <f>'[2]Invoeren'!L31</f>
        <v>0</v>
      </c>
      <c r="I53" s="328">
        <f>'[2]Invoeren'!M46</f>
        <v>0</v>
      </c>
      <c r="J53" s="329">
        <f>'[2]Invoeren'!N46</f>
        <v>0</v>
      </c>
      <c r="K53" s="330">
        <f>'[2]Invoeren'!$C46</f>
        <v>0</v>
      </c>
      <c r="L53" s="324">
        <f>'[2]Invoeren'!AI47</f>
        <v>0</v>
      </c>
      <c r="M53" s="324">
        <f>'[2]Invoeren'!BC47</f>
        <v>0</v>
      </c>
      <c r="N53" s="324">
        <f>'[2]Invoeren'!BW47</f>
        <v>0</v>
      </c>
      <c r="O53" s="324">
        <f>'[2]Invoeren'!CQ47</f>
        <v>0</v>
      </c>
    </row>
    <row r="54" spans="1:15" ht="12" customHeight="1">
      <c r="A54" s="325">
        <f>'[2]Invoeren'!B48</f>
        <v>1</v>
      </c>
      <c r="B54" s="326">
        <f>'[2]Invoeren'!A47</f>
        <v>41</v>
      </c>
      <c r="C54" s="46">
        <v>199603410</v>
      </c>
      <c r="D54" s="332" t="s">
        <v>276</v>
      </c>
      <c r="E54" s="318" t="s">
        <v>235</v>
      </c>
      <c r="F54" s="319"/>
      <c r="G54" s="319" t="s">
        <v>230</v>
      </c>
      <c r="H54" s="327">
        <f>'[2]Invoeren'!L32</f>
        <v>0</v>
      </c>
      <c r="I54" s="328">
        <f>'[2]Invoeren'!M47</f>
        <v>0</v>
      </c>
      <c r="J54" s="329">
        <f>'[2]Invoeren'!N47</f>
        <v>0</v>
      </c>
      <c r="K54" s="330">
        <f>'[2]Invoeren'!$C47</f>
        <v>0</v>
      </c>
      <c r="L54" s="324">
        <f>'[2]Invoeren'!AI48</f>
        <v>0</v>
      </c>
      <c r="M54" s="324">
        <f>'[2]Invoeren'!BC48</f>
        <v>0</v>
      </c>
      <c r="N54" s="324">
        <f>'[2]Invoeren'!BW48</f>
        <v>0</v>
      </c>
      <c r="O54" s="324">
        <f>'[2]Invoeren'!CQ48</f>
        <v>0</v>
      </c>
    </row>
    <row r="55" spans="1:15" ht="12" customHeight="1">
      <c r="A55" s="325">
        <f>'[2]Invoeren'!B49</f>
        <v>1</v>
      </c>
      <c r="B55" s="326">
        <f>'[2]Invoeren'!A48</f>
        <v>42</v>
      </c>
      <c r="C55" s="46">
        <v>199905322</v>
      </c>
      <c r="D55" s="331" t="s">
        <v>277</v>
      </c>
      <c r="E55" s="332" t="s">
        <v>239</v>
      </c>
      <c r="F55" s="319"/>
      <c r="G55" s="319" t="s">
        <v>230</v>
      </c>
      <c r="H55" s="327">
        <f>'[2]Invoeren'!L33</f>
        <v>0</v>
      </c>
      <c r="I55" s="328">
        <f>'[2]Invoeren'!M48</f>
        <v>0</v>
      </c>
      <c r="J55" s="329">
        <f>'[2]Invoeren'!N48</f>
        <v>0</v>
      </c>
      <c r="K55" s="330">
        <f>'[2]Invoeren'!$C48</f>
        <v>0</v>
      </c>
      <c r="L55" s="324">
        <f>'[2]Invoeren'!AI49</f>
        <v>0</v>
      </c>
      <c r="M55" s="324">
        <f>'[2]Invoeren'!BC49</f>
        <v>0</v>
      </c>
      <c r="N55" s="324">
        <f>'[2]Invoeren'!BW49</f>
        <v>0</v>
      </c>
      <c r="O55" s="324">
        <f>'[2]Invoeren'!CQ49</f>
        <v>0</v>
      </c>
    </row>
    <row r="56" spans="1:15" ht="12" customHeight="1">
      <c r="A56" s="325">
        <f>'[2]Invoeren'!B50</f>
        <v>1</v>
      </c>
      <c r="B56" s="326">
        <f>'[2]Invoeren'!A49</f>
        <v>43</v>
      </c>
      <c r="C56" s="317">
        <v>200101302</v>
      </c>
      <c r="D56" t="s">
        <v>278</v>
      </c>
      <c r="E56" s="318" t="s">
        <v>251</v>
      </c>
      <c r="F56" s="319"/>
      <c r="G56" s="319" t="s">
        <v>230</v>
      </c>
      <c r="H56" s="327">
        <f>'[2]Invoeren'!L34</f>
        <v>0</v>
      </c>
      <c r="I56" s="328">
        <f>'[2]Invoeren'!M49</f>
        <v>0</v>
      </c>
      <c r="J56" s="329">
        <f>'[2]Invoeren'!N49</f>
        <v>0</v>
      </c>
      <c r="K56" s="330">
        <f>'[2]Invoeren'!$C49</f>
        <v>0</v>
      </c>
      <c r="L56" s="324">
        <f>'[2]Invoeren'!AI50</f>
        <v>0</v>
      </c>
      <c r="M56" s="324">
        <f>'[2]Invoeren'!BC50</f>
        <v>0</v>
      </c>
      <c r="N56" s="324">
        <f>'[2]Invoeren'!BW50</f>
        <v>0</v>
      </c>
      <c r="O56" s="324">
        <f>'[2]Invoeren'!CQ50</f>
        <v>0</v>
      </c>
    </row>
    <row r="57" spans="1:15" ht="12" customHeight="1">
      <c r="A57" s="325">
        <f>'[2]Invoeren'!B51</f>
        <v>1</v>
      </c>
      <c r="B57" s="326">
        <f>'[2]Invoeren'!A50</f>
        <v>44</v>
      </c>
      <c r="C57" s="317">
        <v>199903820</v>
      </c>
      <c r="D57" t="s">
        <v>279</v>
      </c>
      <c r="E57" s="318" t="s">
        <v>254</v>
      </c>
      <c r="F57" s="319"/>
      <c r="G57" s="319" t="s">
        <v>230</v>
      </c>
      <c r="H57" s="327">
        <f>'[2]Invoeren'!L37</f>
        <v>0</v>
      </c>
      <c r="I57" s="328">
        <f>'[2]Invoeren'!M50</f>
        <v>0</v>
      </c>
      <c r="J57" s="329">
        <f>'[2]Invoeren'!N50</f>
        <v>0</v>
      </c>
      <c r="K57" s="330">
        <f>'[2]Invoeren'!$C50</f>
        <v>0</v>
      </c>
      <c r="L57" s="324">
        <f>'[2]Invoeren'!AI51</f>
        <v>0</v>
      </c>
      <c r="M57" s="324">
        <f>'[2]Invoeren'!BC51</f>
        <v>0</v>
      </c>
      <c r="N57" s="324">
        <f>'[2]Invoeren'!BW51</f>
        <v>0</v>
      </c>
      <c r="O57" s="324">
        <f>'[2]Invoeren'!CQ51</f>
        <v>0</v>
      </c>
    </row>
    <row r="58" spans="1:15" ht="12" customHeight="1">
      <c r="A58" s="325">
        <f>'[2]Invoeren'!B52</f>
        <v>1</v>
      </c>
      <c r="B58" s="326">
        <f>'[2]Invoeren'!A51</f>
        <v>45</v>
      </c>
      <c r="C58" s="46">
        <v>199901226</v>
      </c>
      <c r="D58" s="331" t="s">
        <v>280</v>
      </c>
      <c r="E58" s="332" t="s">
        <v>229</v>
      </c>
      <c r="F58" s="319"/>
      <c r="G58" s="319" t="s">
        <v>230</v>
      </c>
      <c r="H58" s="327">
        <f>'[2]Invoeren'!L38</f>
        <v>0</v>
      </c>
      <c r="I58" s="328">
        <f>'[2]Invoeren'!M51</f>
        <v>0</v>
      </c>
      <c r="J58" s="329">
        <f>'[2]Invoeren'!N51</f>
        <v>0</v>
      </c>
      <c r="K58" s="330">
        <f>'[2]Invoeren'!$C51</f>
        <v>0</v>
      </c>
      <c r="L58" s="324">
        <f>'[2]Invoeren'!AI52</f>
        <v>0</v>
      </c>
      <c r="M58" s="324">
        <f>'[2]Invoeren'!BC52</f>
        <v>0</v>
      </c>
      <c r="N58" s="324">
        <f>'[2]Invoeren'!BW52</f>
        <v>0</v>
      </c>
      <c r="O58" s="324">
        <f>'[2]Invoeren'!CQ52</f>
        <v>0</v>
      </c>
    </row>
    <row r="59" spans="1:15" ht="12" customHeight="1">
      <c r="A59" s="325">
        <f>'[2]Invoeren'!B53</f>
        <v>1</v>
      </c>
      <c r="B59" s="326">
        <f>'[2]Invoeren'!A52</f>
        <v>46</v>
      </c>
      <c r="C59" s="46">
        <v>199803678</v>
      </c>
      <c r="D59" s="332" t="s">
        <v>281</v>
      </c>
      <c r="E59" s="318" t="s">
        <v>235</v>
      </c>
      <c r="F59" s="319"/>
      <c r="G59" s="319" t="s">
        <v>230</v>
      </c>
      <c r="H59" s="327">
        <f>'[2]Invoeren'!L39</f>
        <v>0</v>
      </c>
      <c r="I59" s="328">
        <f>'[2]Invoeren'!M52</f>
        <v>0</v>
      </c>
      <c r="J59" s="329">
        <f>'[2]Invoeren'!N52</f>
        <v>0</v>
      </c>
      <c r="K59" s="330">
        <f>'[2]Invoeren'!$C52</f>
        <v>0</v>
      </c>
      <c r="L59" s="324">
        <f>'[2]Invoeren'!AI53</f>
        <v>0</v>
      </c>
      <c r="M59" s="324">
        <f>'[2]Invoeren'!BC53</f>
        <v>0</v>
      </c>
      <c r="N59" s="324">
        <f>'[2]Invoeren'!BW53</f>
        <v>0</v>
      </c>
      <c r="O59" s="324">
        <f>'[2]Invoeren'!CQ53</f>
        <v>0</v>
      </c>
    </row>
    <row r="60" spans="1:15" ht="12" customHeight="1">
      <c r="A60" s="325">
        <f>'[2]Invoeren'!B54</f>
        <v>1</v>
      </c>
      <c r="B60" s="326">
        <f>'[2]Invoeren'!A53</f>
        <v>47</v>
      </c>
      <c r="C60" s="317">
        <v>200004934</v>
      </c>
      <c r="D60" s="336" t="s">
        <v>282</v>
      </c>
      <c r="E60" s="11" t="s">
        <v>264</v>
      </c>
      <c r="F60" s="319"/>
      <c r="G60" s="22"/>
      <c r="H60" s="327">
        <f>'[2]Invoeren'!L40</f>
        <v>0</v>
      </c>
      <c r="I60" s="328"/>
      <c r="J60" s="329">
        <f>'[2]Invoeren'!N53</f>
        <v>0</v>
      </c>
      <c r="K60" s="330">
        <f>'[2]Invoeren'!$C53</f>
        <v>0</v>
      </c>
      <c r="L60" s="324">
        <f>'[2]Invoeren'!AI54</f>
        <v>0</v>
      </c>
      <c r="M60" s="324">
        <f>'[2]Invoeren'!BC54</f>
        <v>0</v>
      </c>
      <c r="N60" s="324">
        <f>'[2]Invoeren'!BW54</f>
        <v>0</v>
      </c>
      <c r="O60" s="324">
        <f>'[2]Invoeren'!CQ54</f>
        <v>0</v>
      </c>
    </row>
    <row r="61" spans="1:15" ht="12" customHeight="1">
      <c r="A61" s="325">
        <f>'[2]Invoeren'!B55</f>
        <v>1</v>
      </c>
      <c r="B61" s="326">
        <f>'[2]Invoeren'!A54</f>
        <v>48</v>
      </c>
      <c r="C61" s="317">
        <v>199906148</v>
      </c>
      <c r="D61" t="s">
        <v>283</v>
      </c>
      <c r="E61" s="318" t="s">
        <v>239</v>
      </c>
      <c r="F61" s="319"/>
      <c r="G61" s="319" t="s">
        <v>230</v>
      </c>
      <c r="H61" s="327">
        <f>'[2]Invoeren'!L41</f>
        <v>0</v>
      </c>
      <c r="I61" s="328">
        <f>'[2]Invoeren'!M54</f>
        <v>0</v>
      </c>
      <c r="J61" s="329">
        <f>'[2]Invoeren'!N54</f>
        <v>0</v>
      </c>
      <c r="K61" s="330">
        <f>'[2]Invoeren'!$C54</f>
        <v>0</v>
      </c>
      <c r="L61" s="324">
        <f>'[2]Invoeren'!AI55</f>
        <v>0</v>
      </c>
      <c r="M61" s="324">
        <f>'[2]Invoeren'!BC55</f>
        <v>0</v>
      </c>
      <c r="N61" s="324">
        <f>'[2]Invoeren'!BW55</f>
        <v>0</v>
      </c>
      <c r="O61" s="324">
        <f>'[2]Invoeren'!CQ55</f>
        <v>0</v>
      </c>
    </row>
    <row r="62" spans="1:15" ht="12" customHeight="1">
      <c r="A62" s="325">
        <f>'[2]Invoeren'!B56</f>
        <v>1</v>
      </c>
      <c r="B62" s="326">
        <f>'[2]Invoeren'!A55</f>
        <v>49</v>
      </c>
      <c r="C62" s="46">
        <v>199502548</v>
      </c>
      <c r="D62" s="332" t="s">
        <v>284</v>
      </c>
      <c r="E62" s="318" t="s">
        <v>235</v>
      </c>
      <c r="F62" s="319"/>
      <c r="G62" s="319" t="s">
        <v>230</v>
      </c>
      <c r="H62" s="327">
        <f>'[2]Invoeren'!L42</f>
        <v>0</v>
      </c>
      <c r="I62" s="328">
        <f>'[2]Invoeren'!M55</f>
        <v>0</v>
      </c>
      <c r="J62" s="329">
        <f>'[2]Invoeren'!N55</f>
        <v>0</v>
      </c>
      <c r="K62" s="330">
        <f>'[2]Invoeren'!$C55</f>
        <v>0</v>
      </c>
      <c r="L62" s="324">
        <f>'[2]Invoeren'!AI56</f>
        <v>0</v>
      </c>
      <c r="M62" s="324">
        <f>'[2]Invoeren'!BC56</f>
        <v>0</v>
      </c>
      <c r="N62" s="324">
        <f>'[2]Invoeren'!BW56</f>
        <v>0</v>
      </c>
      <c r="O62" s="324">
        <f>'[2]Invoeren'!CQ56</f>
        <v>0</v>
      </c>
    </row>
    <row r="63" spans="1:15" ht="12" customHeight="1">
      <c r="A63" s="325">
        <f>'[2]Invoeren'!B57</f>
        <v>1</v>
      </c>
      <c r="B63" s="326">
        <f>'[2]Invoeren'!A56</f>
        <v>50</v>
      </c>
      <c r="C63" s="46">
        <v>200002602</v>
      </c>
      <c r="D63" s="332" t="s">
        <v>285</v>
      </c>
      <c r="E63" s="318" t="s">
        <v>235</v>
      </c>
      <c r="F63" s="319"/>
      <c r="G63" s="319" t="s">
        <v>230</v>
      </c>
      <c r="H63" s="327">
        <f>'[2]Invoeren'!L43</f>
        <v>0</v>
      </c>
      <c r="I63" s="328">
        <f>'[2]Invoeren'!M56</f>
        <v>0</v>
      </c>
      <c r="J63" s="329">
        <f>'[2]Invoeren'!N56</f>
        <v>0</v>
      </c>
      <c r="K63" s="330">
        <f>'[2]Invoeren'!$C56</f>
        <v>0</v>
      </c>
      <c r="L63" s="324">
        <f>'[2]Invoeren'!AI57</f>
        <v>0</v>
      </c>
      <c r="M63" s="324">
        <f>'[2]Invoeren'!BC57</f>
        <v>0</v>
      </c>
      <c r="N63" s="324">
        <f>'[2]Invoeren'!BW57</f>
        <v>0</v>
      </c>
      <c r="O63" s="324">
        <f>'[2]Invoeren'!CQ57</f>
        <v>0</v>
      </c>
    </row>
    <row r="64" spans="1:15" ht="12" customHeight="1">
      <c r="A64" s="325">
        <f>'[2]Invoeren'!B58</f>
        <v>1</v>
      </c>
      <c r="B64" s="326">
        <f>'[2]Invoeren'!A57</f>
        <v>51</v>
      </c>
      <c r="C64" s="46">
        <v>199703686</v>
      </c>
      <c r="D64" s="332" t="s">
        <v>286</v>
      </c>
      <c r="E64" s="318" t="s">
        <v>235</v>
      </c>
      <c r="F64" s="319"/>
      <c r="G64" s="319" t="s">
        <v>230</v>
      </c>
      <c r="H64" s="327">
        <f>'[2]Invoeren'!L44</f>
        <v>0</v>
      </c>
      <c r="I64" s="328">
        <f>'[2]Invoeren'!M57</f>
        <v>0</v>
      </c>
      <c r="J64" s="329">
        <f>'[2]Invoeren'!N57</f>
        <v>0</v>
      </c>
      <c r="K64" s="330">
        <f>'[2]Invoeren'!$C57</f>
        <v>0</v>
      </c>
      <c r="L64" s="324">
        <f>'[2]Invoeren'!AI58</f>
        <v>0</v>
      </c>
      <c r="M64" s="324">
        <f>'[2]Invoeren'!BC58</f>
        <v>0</v>
      </c>
      <c r="N64" s="324">
        <f>'[2]Invoeren'!BW58</f>
        <v>0</v>
      </c>
      <c r="O64" s="324">
        <f>'[2]Invoeren'!CQ58</f>
        <v>0</v>
      </c>
    </row>
    <row r="65" spans="1:15" ht="12" customHeight="1">
      <c r="A65" s="325">
        <f>'[2]Invoeren'!B59</f>
        <v>1</v>
      </c>
      <c r="B65" s="326">
        <f>'[2]Invoeren'!A58</f>
        <v>52</v>
      </c>
      <c r="C65" s="317">
        <v>200204214</v>
      </c>
      <c r="D65" t="s">
        <v>287</v>
      </c>
      <c r="E65" s="318" t="s">
        <v>251</v>
      </c>
      <c r="F65" s="319"/>
      <c r="G65" s="319" t="s">
        <v>230</v>
      </c>
      <c r="H65" s="327">
        <f>'[2]Invoeren'!L45</f>
        <v>0</v>
      </c>
      <c r="I65" s="328">
        <f>'[2]Invoeren'!M58</f>
        <v>0</v>
      </c>
      <c r="J65" s="329">
        <f>'[2]Invoeren'!N58</f>
        <v>0</v>
      </c>
      <c r="K65" s="330">
        <f>'[2]Invoeren'!$C58</f>
        <v>0</v>
      </c>
      <c r="L65" s="324">
        <f>'[2]Invoeren'!AI59</f>
        <v>0</v>
      </c>
      <c r="M65" s="324">
        <f>'[2]Invoeren'!BC59</f>
        <v>0</v>
      </c>
      <c r="N65" s="324">
        <f>'[2]Invoeren'!BW59</f>
        <v>0</v>
      </c>
      <c r="O65" s="324">
        <f>'[2]Invoeren'!CQ59</f>
        <v>0</v>
      </c>
    </row>
    <row r="66" spans="1:15" ht="12" customHeight="1">
      <c r="A66" s="325">
        <f>'[2]Invoeren'!B60</f>
        <v>1</v>
      </c>
      <c r="B66" s="326">
        <f>'[2]Invoeren'!A59</f>
        <v>53</v>
      </c>
      <c r="C66" s="46"/>
      <c r="D66" s="331" t="s">
        <v>288</v>
      </c>
      <c r="E66" s="332" t="s">
        <v>229</v>
      </c>
      <c r="F66" s="319"/>
      <c r="G66" s="319" t="s">
        <v>230</v>
      </c>
      <c r="H66" s="327">
        <f>'[2]Invoeren'!L47</f>
        <v>0</v>
      </c>
      <c r="I66" s="328">
        <f>'[2]Invoeren'!M59</f>
        <v>0</v>
      </c>
      <c r="J66" s="329">
        <f>'[2]Invoeren'!N59</f>
        <v>0</v>
      </c>
      <c r="K66" s="330">
        <f>'[2]Invoeren'!$C59</f>
        <v>0</v>
      </c>
      <c r="L66" s="324">
        <f>'[2]Invoeren'!AI60</f>
        <v>0</v>
      </c>
      <c r="M66" s="324">
        <f>'[2]Invoeren'!BC60</f>
        <v>0</v>
      </c>
      <c r="N66" s="324">
        <f>'[2]Invoeren'!BW60</f>
        <v>0</v>
      </c>
      <c r="O66" s="324">
        <f>'[2]Invoeren'!CQ60</f>
        <v>0</v>
      </c>
    </row>
    <row r="67" spans="1:15" ht="12" customHeight="1">
      <c r="A67" s="325">
        <f>'[2]Invoeren'!B61</f>
        <v>1</v>
      </c>
      <c r="B67" s="326">
        <f>'[2]Invoeren'!A60</f>
        <v>54</v>
      </c>
      <c r="C67" s="46">
        <v>199601104</v>
      </c>
      <c r="D67" s="331" t="s">
        <v>289</v>
      </c>
      <c r="E67" s="318" t="s">
        <v>251</v>
      </c>
      <c r="F67" s="319"/>
      <c r="G67" s="319" t="s">
        <v>230</v>
      </c>
      <c r="H67" s="327">
        <f>'[2]Invoeren'!L48</f>
        <v>0</v>
      </c>
      <c r="I67" s="328">
        <f>'[2]Invoeren'!M60</f>
        <v>0</v>
      </c>
      <c r="J67" s="329">
        <f>'[2]Invoeren'!N60</f>
        <v>0</v>
      </c>
      <c r="K67" s="330">
        <f>'[2]Invoeren'!$C60</f>
        <v>0</v>
      </c>
      <c r="L67" s="324">
        <f>'[2]Invoeren'!AI61</f>
        <v>0</v>
      </c>
      <c r="M67" s="324">
        <f>'[2]Invoeren'!BC61</f>
        <v>0</v>
      </c>
      <c r="N67" s="324">
        <f>'[2]Invoeren'!BW61</f>
        <v>0</v>
      </c>
      <c r="O67" s="324">
        <f>'[2]Invoeren'!CQ61</f>
        <v>0</v>
      </c>
    </row>
    <row r="68" spans="1:15" ht="12" customHeight="1">
      <c r="A68" s="325">
        <f>'[2]Invoeren'!B62</f>
        <v>1</v>
      </c>
      <c r="B68" s="326">
        <f>'[2]Invoeren'!A61</f>
        <v>55</v>
      </c>
      <c r="C68" s="46">
        <v>200002646</v>
      </c>
      <c r="D68" s="331" t="s">
        <v>290</v>
      </c>
      <c r="E68" s="318" t="s">
        <v>246</v>
      </c>
      <c r="F68" s="319"/>
      <c r="G68" s="319" t="s">
        <v>230</v>
      </c>
      <c r="H68" s="327">
        <f>'[2]Invoeren'!L49</f>
        <v>0</v>
      </c>
      <c r="I68" s="328">
        <f>'[2]Invoeren'!M61</f>
        <v>0</v>
      </c>
      <c r="J68" s="329">
        <f>'[2]Invoeren'!N61</f>
        <v>0</v>
      </c>
      <c r="K68" s="330">
        <f>'[2]Invoeren'!$C61</f>
        <v>0</v>
      </c>
      <c r="L68" s="324">
        <f>'[2]Invoeren'!AI62</f>
        <v>0</v>
      </c>
      <c r="M68" s="324">
        <f>'[2]Invoeren'!BC62</f>
        <v>0</v>
      </c>
      <c r="N68" s="324">
        <f>'[2]Invoeren'!BW62</f>
        <v>0</v>
      </c>
      <c r="O68" s="324">
        <f>'[2]Invoeren'!CQ62</f>
        <v>0</v>
      </c>
    </row>
    <row r="69" spans="1:15" ht="12" customHeight="1">
      <c r="A69" s="325">
        <f>'[2]Invoeren'!B63</f>
        <v>1</v>
      </c>
      <c r="B69" s="326">
        <f>'[2]Invoeren'!A62</f>
        <v>56</v>
      </c>
      <c r="C69" s="337">
        <v>199806198</v>
      </c>
      <c r="D69" s="331" t="s">
        <v>291</v>
      </c>
      <c r="E69" s="318" t="s">
        <v>254</v>
      </c>
      <c r="F69" s="319"/>
      <c r="G69" s="339" t="s">
        <v>230</v>
      </c>
      <c r="H69" s="327">
        <f>'[2]Invoeren'!L50</f>
        <v>0</v>
      </c>
      <c r="I69" s="328">
        <f>'[2]Invoeren'!M62</f>
        <v>0</v>
      </c>
      <c r="J69" s="329">
        <f>'[2]Invoeren'!N62</f>
        <v>0</v>
      </c>
      <c r="K69" s="330">
        <f>'[2]Invoeren'!$C62</f>
        <v>0</v>
      </c>
      <c r="L69" s="324">
        <f>'[2]Invoeren'!AI63</f>
        <v>0</v>
      </c>
      <c r="M69" s="324">
        <f>'[2]Invoeren'!BC63</f>
        <v>0</v>
      </c>
      <c r="N69" s="324">
        <f>'[2]Invoeren'!BW63</f>
        <v>0</v>
      </c>
      <c r="O69" s="324">
        <f>'[2]Invoeren'!CQ63</f>
        <v>0</v>
      </c>
    </row>
    <row r="70" spans="1:15" ht="12" customHeight="1">
      <c r="A70" s="325">
        <f>'[2]Invoeren'!B64</f>
        <v>1</v>
      </c>
      <c r="B70" s="326">
        <f>'[2]Invoeren'!A63</f>
        <v>57</v>
      </c>
      <c r="C70" s="317">
        <v>200105066</v>
      </c>
      <c r="D70" t="s">
        <v>292</v>
      </c>
      <c r="E70" s="318" t="s">
        <v>251</v>
      </c>
      <c r="F70" s="319"/>
      <c r="G70" s="319" t="s">
        <v>230</v>
      </c>
      <c r="H70" s="327">
        <f>'[2]Invoeren'!L51</f>
        <v>0</v>
      </c>
      <c r="I70" s="328"/>
      <c r="J70" s="329">
        <f>'[2]Invoeren'!N63</f>
        <v>0</v>
      </c>
      <c r="K70" s="330">
        <f>'[2]Invoeren'!$C63</f>
        <v>0</v>
      </c>
      <c r="L70" s="324">
        <f>'[2]Invoeren'!AI64</f>
        <v>0</v>
      </c>
      <c r="M70" s="324">
        <f>'[2]Invoeren'!BC64</f>
        <v>0</v>
      </c>
      <c r="N70" s="324">
        <f>'[2]Invoeren'!BW64</f>
        <v>0</v>
      </c>
      <c r="O70" s="324">
        <f>'[2]Invoeren'!CQ64</f>
        <v>0</v>
      </c>
    </row>
    <row r="71" spans="1:15" ht="12" customHeight="1">
      <c r="A71" s="325">
        <f>'[2]Invoeren'!B65</f>
        <v>1</v>
      </c>
      <c r="B71" s="326">
        <f>'[2]Invoeren'!A64</f>
        <v>58</v>
      </c>
      <c r="C71" s="46">
        <v>200000432</v>
      </c>
      <c r="D71" s="331" t="s">
        <v>293</v>
      </c>
      <c r="E71" s="332" t="s">
        <v>229</v>
      </c>
      <c r="F71" s="319"/>
      <c r="G71" s="319" t="s">
        <v>230</v>
      </c>
      <c r="H71" s="327">
        <f>'[2]Invoeren'!L52</f>
        <v>0</v>
      </c>
      <c r="I71" s="328">
        <f>'[2]Invoeren'!M64</f>
        <v>0</v>
      </c>
      <c r="J71" s="329">
        <f>'[2]Invoeren'!N64</f>
        <v>0</v>
      </c>
      <c r="K71" s="330">
        <f>'[2]Invoeren'!$C64</f>
        <v>0</v>
      </c>
      <c r="L71" s="324">
        <f>'[2]Invoeren'!AI65</f>
        <v>0</v>
      </c>
      <c r="M71" s="324">
        <f>'[2]Invoeren'!BC65</f>
        <v>0</v>
      </c>
      <c r="N71" s="324">
        <f>'[2]Invoeren'!BW65</f>
        <v>0</v>
      </c>
      <c r="O71" s="324">
        <f>'[2]Invoeren'!CQ65</f>
        <v>0</v>
      </c>
    </row>
    <row r="72" spans="1:15" ht="12" customHeight="1">
      <c r="A72" s="325">
        <f>'[2]Invoeren'!B66</f>
        <v>1</v>
      </c>
      <c r="B72" s="326">
        <f>'[2]Invoeren'!A65</f>
        <v>59</v>
      </c>
      <c r="C72" s="317">
        <v>200105086</v>
      </c>
      <c r="D72" t="s">
        <v>294</v>
      </c>
      <c r="E72" s="318" t="s">
        <v>251</v>
      </c>
      <c r="F72" s="319"/>
      <c r="G72" s="319" t="s">
        <v>230</v>
      </c>
      <c r="H72" s="327">
        <f>'[2]Invoeren'!L53</f>
        <v>0</v>
      </c>
      <c r="I72" s="328">
        <f>'[2]Invoeren'!M65</f>
        <v>0</v>
      </c>
      <c r="J72" s="329">
        <f>'[2]Invoeren'!N65</f>
        <v>0</v>
      </c>
      <c r="K72" s="330">
        <f>'[2]Invoeren'!$C65</f>
        <v>0</v>
      </c>
      <c r="L72" s="324">
        <f>'[2]Invoeren'!AI66</f>
        <v>0</v>
      </c>
      <c r="M72" s="324">
        <f>'[2]Invoeren'!BC66</f>
        <v>0</v>
      </c>
      <c r="N72" s="324">
        <f>'[2]Invoeren'!BW66</f>
        <v>0</v>
      </c>
      <c r="O72" s="324">
        <f>'[2]Invoeren'!CQ66</f>
        <v>0</v>
      </c>
    </row>
    <row r="73" spans="1:15" ht="12" customHeight="1">
      <c r="A73" s="325">
        <f>'[2]Invoeren'!B67</f>
        <v>1</v>
      </c>
      <c r="B73" s="326">
        <f>'[2]Invoeren'!A66</f>
        <v>60</v>
      </c>
      <c r="C73" s="46">
        <v>199204134</v>
      </c>
      <c r="D73" s="331" t="s">
        <v>295</v>
      </c>
      <c r="E73" s="318" t="s">
        <v>251</v>
      </c>
      <c r="F73" s="319"/>
      <c r="G73" s="319" t="s">
        <v>230</v>
      </c>
      <c r="H73" s="327">
        <f>'[2]Invoeren'!L55</f>
        <v>0</v>
      </c>
      <c r="I73" s="328">
        <f>'[2]Invoeren'!M66</f>
        <v>0</v>
      </c>
      <c r="J73" s="329">
        <f>'[2]Invoeren'!N66</f>
        <v>0</v>
      </c>
      <c r="K73" s="330">
        <f>'[2]Invoeren'!$C66</f>
        <v>0</v>
      </c>
      <c r="L73" s="324">
        <f>'[2]Invoeren'!AI67</f>
        <v>0</v>
      </c>
      <c r="M73" s="324">
        <f>'[2]Invoeren'!BC67</f>
        <v>0</v>
      </c>
      <c r="N73" s="324">
        <f>'[2]Invoeren'!BW67</f>
        <v>0</v>
      </c>
      <c r="O73" s="324">
        <f>'[2]Invoeren'!CQ67</f>
        <v>0</v>
      </c>
    </row>
    <row r="74" spans="1:15" ht="12" customHeight="1">
      <c r="A74" s="325" t="str">
        <f>'[2]Invoeren'!B68</f>
        <v>BM</v>
      </c>
      <c r="B74" s="326">
        <f>'[2]Invoeren'!A67</f>
        <v>61</v>
      </c>
      <c r="C74" s="46">
        <v>199603232</v>
      </c>
      <c r="D74" s="331" t="s">
        <v>296</v>
      </c>
      <c r="E74" s="332" t="s">
        <v>229</v>
      </c>
      <c r="F74" s="319"/>
      <c r="G74" s="319" t="s">
        <v>230</v>
      </c>
      <c r="H74" s="327">
        <f>'[2]Invoeren'!L56</f>
        <v>0</v>
      </c>
      <c r="I74" s="328"/>
      <c r="J74" s="329">
        <f>'[2]Invoeren'!N67</f>
        <v>0</v>
      </c>
      <c r="K74" s="330">
        <f>'[2]Invoeren'!$C67</f>
        <v>0</v>
      </c>
      <c r="L74" s="324">
        <f>'[2]Invoeren'!AI68</f>
        <v>0</v>
      </c>
      <c r="M74" s="324">
        <f>'[2]Invoeren'!BC68</f>
        <v>0</v>
      </c>
      <c r="N74" s="324">
        <f>'[2]Invoeren'!BW68</f>
        <v>0</v>
      </c>
      <c r="O74" s="324">
        <f>'[2]Invoeren'!CQ68</f>
        <v>0</v>
      </c>
    </row>
    <row r="75" spans="1:15" ht="12" customHeight="1">
      <c r="A75" s="325">
        <f>'[2]Invoeren'!B69</f>
        <v>1</v>
      </c>
      <c r="B75" s="326">
        <f>'[2]Invoeren'!A68</f>
        <v>62</v>
      </c>
      <c r="C75" s="46">
        <v>199905316</v>
      </c>
      <c r="D75" s="331" t="s">
        <v>297</v>
      </c>
      <c r="E75" s="332" t="s">
        <v>239</v>
      </c>
      <c r="F75" s="319"/>
      <c r="G75" s="319" t="s">
        <v>230</v>
      </c>
      <c r="H75" s="327">
        <f>'[2]Invoeren'!L57</f>
        <v>0</v>
      </c>
      <c r="I75" s="328">
        <f>'[2]Invoeren'!M68</f>
        <v>0</v>
      </c>
      <c r="J75" s="329">
        <f>'[2]Invoeren'!N68</f>
        <v>0</v>
      </c>
      <c r="K75" s="330">
        <f>'[2]Invoeren'!$C68</f>
        <v>0</v>
      </c>
      <c r="L75" s="324">
        <f>'[2]Invoeren'!AI69</f>
        <v>0</v>
      </c>
      <c r="M75" s="324">
        <f>'[2]Invoeren'!BC69</f>
        <v>0</v>
      </c>
      <c r="N75" s="324">
        <f>'[2]Invoeren'!BW69</f>
        <v>0</v>
      </c>
      <c r="O75" s="324">
        <f>'[2]Invoeren'!CQ69</f>
        <v>0</v>
      </c>
    </row>
    <row r="76" spans="1:15" ht="12" customHeight="1">
      <c r="A76" s="325">
        <f>'[2]Invoeren'!B70</f>
        <v>1</v>
      </c>
      <c r="B76" s="326">
        <f>'[2]Invoeren'!A69</f>
        <v>63</v>
      </c>
      <c r="C76" s="46">
        <v>200002604</v>
      </c>
      <c r="D76" s="332" t="s">
        <v>298</v>
      </c>
      <c r="E76" s="318" t="s">
        <v>235</v>
      </c>
      <c r="F76" s="319"/>
      <c r="G76" s="319" t="s">
        <v>230</v>
      </c>
      <c r="H76" s="327">
        <f>'[2]Invoeren'!L58</f>
        <v>0</v>
      </c>
      <c r="I76" s="328">
        <f>'[2]Invoeren'!M69</f>
        <v>0</v>
      </c>
      <c r="J76" s="329">
        <f>'[2]Invoeren'!N69</f>
        <v>0</v>
      </c>
      <c r="K76" s="330">
        <f>'[2]Invoeren'!$C69</f>
        <v>0</v>
      </c>
      <c r="L76" s="324">
        <f>'[2]Invoeren'!AI70</f>
        <v>0</v>
      </c>
      <c r="M76" s="324">
        <f>'[2]Invoeren'!BC70</f>
        <v>0</v>
      </c>
      <c r="N76" s="324">
        <f>'[2]Invoeren'!BW70</f>
        <v>0</v>
      </c>
      <c r="O76" s="324">
        <f>'[2]Invoeren'!CQ70</f>
        <v>0</v>
      </c>
    </row>
    <row r="77" spans="1:15" ht="12" customHeight="1">
      <c r="A77" s="325">
        <f>'[2]Invoeren'!B71</f>
        <v>1</v>
      </c>
      <c r="B77" s="326">
        <f>'[2]Invoeren'!A70</f>
        <v>64</v>
      </c>
      <c r="C77" s="46">
        <v>199800110</v>
      </c>
      <c r="D77" s="331" t="s">
        <v>299</v>
      </c>
      <c r="E77" s="318" t="s">
        <v>251</v>
      </c>
      <c r="F77" s="319"/>
      <c r="G77" s="319" t="s">
        <v>230</v>
      </c>
      <c r="H77" s="327">
        <f>'[2]Invoeren'!L59</f>
        <v>0</v>
      </c>
      <c r="I77" s="328">
        <f>'[2]Invoeren'!M70</f>
        <v>0</v>
      </c>
      <c r="J77" s="329">
        <f>'[2]Invoeren'!N70</f>
        <v>0</v>
      </c>
      <c r="K77" s="330">
        <f>'[2]Invoeren'!$C70</f>
        <v>0</v>
      </c>
      <c r="L77" s="324">
        <f>'[2]Invoeren'!AI71</f>
        <v>0</v>
      </c>
      <c r="M77" s="324">
        <f>'[2]Invoeren'!BC71</f>
        <v>0</v>
      </c>
      <c r="N77" s="324">
        <f>'[2]Invoeren'!BW71</f>
        <v>0</v>
      </c>
      <c r="O77" s="324">
        <f>'[2]Invoeren'!CQ71</f>
        <v>0</v>
      </c>
    </row>
    <row r="78" spans="1:15" ht="12" customHeight="1">
      <c r="A78" s="325">
        <f>'[2]Invoeren'!B72</f>
        <v>1</v>
      </c>
      <c r="B78" s="326">
        <f>'[2]Invoeren'!A71</f>
        <v>65</v>
      </c>
      <c r="C78" s="317">
        <v>200105206</v>
      </c>
      <c r="D78" t="s">
        <v>300</v>
      </c>
      <c r="E78" s="318" t="s">
        <v>254</v>
      </c>
      <c r="F78" s="319"/>
      <c r="G78" s="319" t="s">
        <v>230</v>
      </c>
      <c r="H78" s="327">
        <f>'[2]Invoeren'!L61</f>
        <v>0</v>
      </c>
      <c r="I78" s="328">
        <f>'[2]Invoeren'!M71</f>
        <v>0</v>
      </c>
      <c r="J78" s="329">
        <f>'[2]Invoeren'!N71</f>
        <v>0</v>
      </c>
      <c r="K78" s="330">
        <f>'[2]Invoeren'!$C71</f>
        <v>0</v>
      </c>
      <c r="L78" s="324">
        <f>'[2]Invoeren'!AI72</f>
        <v>0</v>
      </c>
      <c r="M78" s="324">
        <f>'[2]Invoeren'!BC72</f>
        <v>0</v>
      </c>
      <c r="N78" s="324">
        <f>'[2]Invoeren'!BW72</f>
        <v>0</v>
      </c>
      <c r="O78" s="324">
        <f>'[2]Invoeren'!CQ72</f>
        <v>0</v>
      </c>
    </row>
    <row r="79" spans="1:15" ht="12" customHeight="1">
      <c r="A79" s="325">
        <f>'[2]Invoeren'!B73</f>
        <v>1</v>
      </c>
      <c r="B79" s="326">
        <f>'[2]Invoeren'!A72</f>
        <v>66</v>
      </c>
      <c r="C79" s="317"/>
      <c r="D79" t="s">
        <v>301</v>
      </c>
      <c r="E79" s="318" t="s">
        <v>251</v>
      </c>
      <c r="F79" s="319"/>
      <c r="G79" s="319" t="s">
        <v>230</v>
      </c>
      <c r="H79" s="327">
        <f>'[2]Invoeren'!L62</f>
        <v>0</v>
      </c>
      <c r="I79" s="328">
        <f>'[2]Invoeren'!M72</f>
        <v>0</v>
      </c>
      <c r="J79" s="329">
        <f>'[2]Invoeren'!N72</f>
        <v>0</v>
      </c>
      <c r="K79" s="330">
        <f>'[2]Invoeren'!$C72</f>
        <v>0</v>
      </c>
      <c r="L79" s="324">
        <f>'[2]Invoeren'!AI73</f>
        <v>0</v>
      </c>
      <c r="M79" s="324">
        <f>'[2]Invoeren'!BC73</f>
        <v>0</v>
      </c>
      <c r="N79" s="324">
        <f>'[2]Invoeren'!BW73</f>
        <v>0</v>
      </c>
      <c r="O79" s="324">
        <f>'[2]Invoeren'!CQ73</f>
        <v>0</v>
      </c>
    </row>
    <row r="80" spans="1:15" ht="12" customHeight="1">
      <c r="A80" s="325">
        <f>'[2]Invoeren'!B74</f>
        <v>1</v>
      </c>
      <c r="B80" s="326">
        <f>'[2]Invoeren'!A73</f>
        <v>67</v>
      </c>
      <c r="C80" s="46">
        <v>200002634</v>
      </c>
      <c r="D80" s="331" t="s">
        <v>302</v>
      </c>
      <c r="E80" s="318" t="s">
        <v>239</v>
      </c>
      <c r="F80" s="319"/>
      <c r="G80" s="319" t="s">
        <v>230</v>
      </c>
      <c r="H80" s="327">
        <f>'[2]Invoeren'!L63</f>
        <v>0</v>
      </c>
      <c r="I80" s="328">
        <f>'[2]Invoeren'!M73</f>
        <v>0</v>
      </c>
      <c r="J80" s="329">
        <f>'[2]Invoeren'!N73</f>
        <v>0</v>
      </c>
      <c r="K80" s="330">
        <f>'[2]Invoeren'!$C73</f>
        <v>0</v>
      </c>
      <c r="L80" s="324">
        <f>'[2]Invoeren'!AI74</f>
        <v>0</v>
      </c>
      <c r="M80" s="324">
        <f>'[2]Invoeren'!BC74</f>
        <v>0</v>
      </c>
      <c r="N80" s="324">
        <f>'[2]Invoeren'!BW74</f>
        <v>0</v>
      </c>
      <c r="O80" s="324">
        <f>'[2]Invoeren'!CQ74</f>
        <v>0</v>
      </c>
    </row>
    <row r="81" spans="1:15" ht="12" customHeight="1">
      <c r="A81" s="325">
        <f>'[2]Invoeren'!B75</f>
        <v>1</v>
      </c>
      <c r="B81" s="326">
        <f>'[2]Invoeren'!A74</f>
        <v>68</v>
      </c>
      <c r="C81" s="46">
        <v>200001256</v>
      </c>
      <c r="D81" s="331" t="s">
        <v>303</v>
      </c>
      <c r="E81" s="318" t="s">
        <v>239</v>
      </c>
      <c r="F81" s="319"/>
      <c r="G81" s="319" t="s">
        <v>230</v>
      </c>
      <c r="H81" s="327">
        <f>'[2]Invoeren'!L64</f>
        <v>0</v>
      </c>
      <c r="I81" s="328">
        <f>'[2]Invoeren'!M74</f>
        <v>0</v>
      </c>
      <c r="J81" s="329">
        <f>'[2]Invoeren'!N74</f>
        <v>0</v>
      </c>
      <c r="K81" s="330">
        <f>'[2]Invoeren'!$C74</f>
        <v>0</v>
      </c>
      <c r="L81" s="324">
        <f>'[2]Invoeren'!AI75</f>
        <v>0</v>
      </c>
      <c r="M81" s="324">
        <f>'[2]Invoeren'!BC75</f>
        <v>0</v>
      </c>
      <c r="N81" s="324">
        <f>'[2]Invoeren'!BW75</f>
        <v>0</v>
      </c>
      <c r="O81" s="324">
        <f>'[2]Invoeren'!CQ75</f>
        <v>0</v>
      </c>
    </row>
    <row r="82" spans="1:15" ht="12" customHeight="1">
      <c r="A82" s="325">
        <f>'[2]Invoeren'!B76</f>
        <v>1</v>
      </c>
      <c r="B82" s="326">
        <f>'[2]Invoeren'!A75</f>
        <v>69</v>
      </c>
      <c r="C82" s="317">
        <v>199005222</v>
      </c>
      <c r="D82" t="s">
        <v>304</v>
      </c>
      <c r="E82" s="318" t="s">
        <v>246</v>
      </c>
      <c r="F82" s="319"/>
      <c r="G82" s="319" t="s">
        <v>230</v>
      </c>
      <c r="H82" s="327">
        <f>'[2]Invoeren'!L65</f>
        <v>0</v>
      </c>
      <c r="I82" s="328">
        <f>'[2]Invoeren'!M75</f>
        <v>0</v>
      </c>
      <c r="J82" s="329">
        <f>'[2]Invoeren'!N75</f>
        <v>0</v>
      </c>
      <c r="K82" s="330">
        <f>'[2]Invoeren'!$C75</f>
        <v>0</v>
      </c>
      <c r="L82" s="324">
        <f>'[2]Invoeren'!AI76</f>
        <v>0</v>
      </c>
      <c r="M82" s="324">
        <f>'[2]Invoeren'!BC76</f>
        <v>0</v>
      </c>
      <c r="N82" s="324">
        <f>'[2]Invoeren'!BW76</f>
        <v>0</v>
      </c>
      <c r="O82" s="324">
        <f>'[2]Invoeren'!CQ76</f>
        <v>0</v>
      </c>
    </row>
    <row r="83" spans="1:15" ht="12" customHeight="1">
      <c r="A83" s="325">
        <f>'[2]Invoeren'!B77</f>
        <v>1</v>
      </c>
      <c r="B83" s="326">
        <f>'[2]Invoeren'!A76</f>
        <v>70</v>
      </c>
      <c r="C83" s="46">
        <v>199203378</v>
      </c>
      <c r="D83" s="331" t="s">
        <v>305</v>
      </c>
      <c r="E83" s="318" t="s">
        <v>239</v>
      </c>
      <c r="F83" s="319"/>
      <c r="G83" s="319" t="s">
        <v>230</v>
      </c>
      <c r="H83" s="327">
        <f>'[2]Invoeren'!L67</f>
        <v>0</v>
      </c>
      <c r="I83" s="328"/>
      <c r="J83" s="329">
        <f>'[2]Invoeren'!N76</f>
        <v>0</v>
      </c>
      <c r="K83" s="330">
        <f>'[2]Invoeren'!$C76</f>
        <v>0</v>
      </c>
      <c r="L83" s="324">
        <f>'[2]Invoeren'!AI77</f>
        <v>0</v>
      </c>
      <c r="M83" s="324">
        <f>'[2]Invoeren'!BC77</f>
        <v>0</v>
      </c>
      <c r="N83" s="324">
        <f>'[2]Invoeren'!BW77</f>
        <v>0</v>
      </c>
      <c r="O83" s="324">
        <f>'[2]Invoeren'!CQ77</f>
        <v>0</v>
      </c>
    </row>
    <row r="84" spans="1:15" ht="12" customHeight="1">
      <c r="A84" s="325">
        <f>'[2]Invoeren'!B78</f>
        <v>1</v>
      </c>
      <c r="B84" s="326">
        <f>'[2]Invoeren'!A77</f>
        <v>71</v>
      </c>
      <c r="C84" s="46">
        <v>199701938</v>
      </c>
      <c r="D84" s="331" t="s">
        <v>306</v>
      </c>
      <c r="E84" s="318" t="s">
        <v>254</v>
      </c>
      <c r="F84" s="319"/>
      <c r="G84" s="319" t="s">
        <v>230</v>
      </c>
      <c r="H84" s="327">
        <f>'[2]Invoeren'!L68</f>
        <v>0</v>
      </c>
      <c r="I84" s="328">
        <f>'[2]Invoeren'!M77</f>
        <v>0</v>
      </c>
      <c r="J84" s="329">
        <f>'[2]Invoeren'!N77</f>
        <v>0</v>
      </c>
      <c r="K84" s="330">
        <f>'[2]Invoeren'!$C77</f>
        <v>0</v>
      </c>
      <c r="L84" s="324">
        <f>'[2]Invoeren'!AI78</f>
        <v>0</v>
      </c>
      <c r="M84" s="324">
        <f>'[2]Invoeren'!BC78</f>
        <v>0</v>
      </c>
      <c r="N84" s="324">
        <f>'[2]Invoeren'!BW78</f>
        <v>0</v>
      </c>
      <c r="O84" s="324">
        <f>'[2]Invoeren'!CQ78</f>
        <v>0</v>
      </c>
    </row>
    <row r="85" spans="1:15" ht="12" customHeight="1">
      <c r="A85" s="325">
        <f>'[2]Invoeren'!B79</f>
        <v>1</v>
      </c>
      <c r="B85" s="326">
        <f>'[2]Invoeren'!A78</f>
        <v>72</v>
      </c>
      <c r="C85" s="46">
        <v>199901240</v>
      </c>
      <c r="D85" s="331" t="s">
        <v>307</v>
      </c>
      <c r="E85" s="318" t="s">
        <v>239</v>
      </c>
      <c r="F85" s="319"/>
      <c r="G85" s="319" t="s">
        <v>230</v>
      </c>
      <c r="H85" s="327">
        <f>'[2]Invoeren'!L69</f>
        <v>0</v>
      </c>
      <c r="I85" s="328">
        <f>'[2]Invoeren'!M78</f>
        <v>0</v>
      </c>
      <c r="J85" s="329">
        <f>'[2]Invoeren'!N78</f>
        <v>0</v>
      </c>
      <c r="K85" s="330">
        <f>'[2]Invoeren'!$C78</f>
        <v>0</v>
      </c>
      <c r="L85" s="324">
        <f>'[2]Invoeren'!AI79</f>
        <v>0</v>
      </c>
      <c r="M85" s="324">
        <f>'[2]Invoeren'!BC79</f>
        <v>0</v>
      </c>
      <c r="N85" s="324">
        <f>'[2]Invoeren'!BW79</f>
        <v>0</v>
      </c>
      <c r="O85" s="324">
        <f>'[2]Invoeren'!CQ79</f>
        <v>0</v>
      </c>
    </row>
    <row r="86" spans="1:15" ht="12" customHeight="1">
      <c r="A86" s="325">
        <f>'[2]Invoeren'!B80</f>
        <v>1</v>
      </c>
      <c r="B86" s="326">
        <f>'[2]Invoeren'!A79</f>
        <v>73</v>
      </c>
      <c r="C86" s="333">
        <v>200202050</v>
      </c>
      <c r="D86" s="334" t="s">
        <v>232</v>
      </c>
      <c r="E86" s="334" t="s">
        <v>229</v>
      </c>
      <c r="F86" s="334">
        <f>'[2]Invoeren'!$I158</f>
        <v>0</v>
      </c>
      <c r="G86" s="335" t="s">
        <v>230</v>
      </c>
      <c r="H86" s="327">
        <f>'[2]Invoeren'!L71</f>
        <v>0</v>
      </c>
      <c r="I86" s="328">
        <f>'[2]Invoeren'!M79</f>
        <v>0</v>
      </c>
      <c r="J86" s="329">
        <f>'[2]Invoeren'!N79</f>
        <v>0</v>
      </c>
      <c r="K86" s="330">
        <f>'[2]Invoeren'!$C79</f>
        <v>0</v>
      </c>
      <c r="L86" s="324">
        <f>'[2]Invoeren'!AI80</f>
        <v>0</v>
      </c>
      <c r="M86" s="324">
        <f>'[2]Invoeren'!BC80</f>
        <v>0</v>
      </c>
      <c r="N86" s="324">
        <f>'[2]Invoeren'!BW80</f>
        <v>0</v>
      </c>
      <c r="O86" s="324">
        <f>'[2]Invoeren'!CQ80</f>
        <v>0</v>
      </c>
    </row>
    <row r="87" spans="1:15" ht="12" customHeight="1">
      <c r="A87" s="325">
        <f>'[2]Invoeren'!B81</f>
        <v>1</v>
      </c>
      <c r="B87" s="326">
        <f>'[2]Invoeren'!A80</f>
        <v>74</v>
      </c>
      <c r="C87" s="46">
        <v>199504996</v>
      </c>
      <c r="D87" s="331" t="s">
        <v>308</v>
      </c>
      <c r="E87" s="332" t="s">
        <v>229</v>
      </c>
      <c r="F87" s="319"/>
      <c r="G87" s="319" t="s">
        <v>230</v>
      </c>
      <c r="H87" s="327">
        <f>'[2]Invoeren'!L72</f>
        <v>0</v>
      </c>
      <c r="I87" s="328">
        <f>'[2]Invoeren'!M80</f>
        <v>0</v>
      </c>
      <c r="J87" s="329">
        <f>'[2]Invoeren'!N80</f>
        <v>0</v>
      </c>
      <c r="K87" s="330">
        <f>'[2]Invoeren'!$C80</f>
        <v>0</v>
      </c>
      <c r="L87" s="324">
        <f>'[2]Invoeren'!AI81</f>
        <v>0</v>
      </c>
      <c r="M87" s="324">
        <f>'[2]Invoeren'!BC81</f>
        <v>0</v>
      </c>
      <c r="N87" s="324">
        <f>'[2]Invoeren'!BW81</f>
        <v>0</v>
      </c>
      <c r="O87" s="324">
        <f>'[2]Invoeren'!CQ81</f>
        <v>0</v>
      </c>
    </row>
    <row r="88" spans="1:15" ht="12" customHeight="1">
      <c r="A88" s="325">
        <f>'[2]Invoeren'!B82</f>
        <v>1</v>
      </c>
      <c r="B88" s="326">
        <f>'[2]Invoeren'!A81</f>
        <v>75</v>
      </c>
      <c r="C88" s="317">
        <v>200006040</v>
      </c>
      <c r="D88" t="s">
        <v>309</v>
      </c>
      <c r="E88" s="318" t="s">
        <v>229</v>
      </c>
      <c r="F88" s="319"/>
      <c r="G88" s="319" t="s">
        <v>230</v>
      </c>
      <c r="H88" s="327">
        <f>'[2]Invoeren'!L73</f>
        <v>0</v>
      </c>
      <c r="I88" s="328"/>
      <c r="J88" s="329">
        <f>'[2]Invoeren'!N81</f>
        <v>0</v>
      </c>
      <c r="K88" s="330">
        <f>'[2]Invoeren'!$C81</f>
        <v>0</v>
      </c>
      <c r="L88" s="324">
        <f>'[2]Invoeren'!AI82</f>
        <v>0</v>
      </c>
      <c r="M88" s="324">
        <f>'[2]Invoeren'!BC82</f>
        <v>0</v>
      </c>
      <c r="N88" s="324">
        <f>'[2]Invoeren'!BW82</f>
        <v>0</v>
      </c>
      <c r="O88" s="324">
        <f>'[2]Invoeren'!CQ82</f>
        <v>0</v>
      </c>
    </row>
    <row r="89" spans="1:15" ht="12" customHeight="1">
      <c r="A89" s="325">
        <f>'[2]Invoeren'!B83</f>
        <v>1</v>
      </c>
      <c r="B89" s="326">
        <f>'[2]Invoeren'!A82</f>
        <v>76</v>
      </c>
      <c r="C89" s="46">
        <v>199503276</v>
      </c>
      <c r="D89" s="331" t="s">
        <v>310</v>
      </c>
      <c r="E89" s="318" t="s">
        <v>254</v>
      </c>
      <c r="F89" s="319"/>
      <c r="G89" s="319" t="s">
        <v>230</v>
      </c>
      <c r="H89" s="327">
        <f>'[2]Invoeren'!L74</f>
        <v>0</v>
      </c>
      <c r="I89" s="328">
        <f>'[2]Invoeren'!M82</f>
        <v>0</v>
      </c>
      <c r="J89" s="329">
        <f>'[2]Invoeren'!N82</f>
        <v>0</v>
      </c>
      <c r="K89" s="330">
        <f>'[2]Invoeren'!$C82</f>
        <v>0</v>
      </c>
      <c r="L89" s="324">
        <f>'[2]Invoeren'!AI83</f>
        <v>0</v>
      </c>
      <c r="M89" s="324">
        <f>'[2]Invoeren'!BC83</f>
        <v>0</v>
      </c>
      <c r="N89" s="324">
        <f>'[2]Invoeren'!BW83</f>
        <v>0</v>
      </c>
      <c r="O89" s="324">
        <f>'[2]Invoeren'!CQ83</f>
        <v>0</v>
      </c>
    </row>
    <row r="90" spans="1:15" ht="12" customHeight="1">
      <c r="A90" s="325">
        <f>'[2]Invoeren'!B84</f>
        <v>1</v>
      </c>
      <c r="B90" s="326">
        <f>'[2]Invoeren'!A83</f>
        <v>77</v>
      </c>
      <c r="C90" s="46">
        <v>199206634</v>
      </c>
      <c r="D90" s="331" t="s">
        <v>311</v>
      </c>
      <c r="E90" s="318" t="s">
        <v>239</v>
      </c>
      <c r="F90" s="319"/>
      <c r="G90" s="319" t="s">
        <v>230</v>
      </c>
      <c r="H90" s="327">
        <f>'[2]Invoeren'!L75</f>
        <v>0</v>
      </c>
      <c r="I90" s="328">
        <f>'[2]Invoeren'!M83</f>
        <v>0</v>
      </c>
      <c r="J90" s="329">
        <f>'[2]Invoeren'!N83</f>
        <v>0</v>
      </c>
      <c r="K90" s="330">
        <f>'[2]Invoeren'!$C83</f>
        <v>0</v>
      </c>
      <c r="L90" s="324">
        <f>'[2]Invoeren'!AI84</f>
        <v>0</v>
      </c>
      <c r="M90" s="324">
        <f>'[2]Invoeren'!BC84</f>
        <v>0</v>
      </c>
      <c r="N90" s="324">
        <f>'[2]Invoeren'!BW84</f>
        <v>0</v>
      </c>
      <c r="O90" s="324">
        <f>'[2]Invoeren'!CQ84</f>
        <v>0</v>
      </c>
    </row>
    <row r="91" spans="1:15" ht="12" customHeight="1">
      <c r="A91" s="325">
        <f>'[2]Invoeren'!B85</f>
        <v>1</v>
      </c>
      <c r="B91" s="326">
        <f>'[2]Invoeren'!A84</f>
        <v>78</v>
      </c>
      <c r="C91" s="317"/>
      <c r="D91" t="s">
        <v>312</v>
      </c>
      <c r="E91" s="318" t="s">
        <v>251</v>
      </c>
      <c r="F91" s="319"/>
      <c r="G91" s="319" t="s">
        <v>230</v>
      </c>
      <c r="H91" s="327">
        <f>'[2]Invoeren'!L76</f>
        <v>0</v>
      </c>
      <c r="I91" s="328">
        <f>'[2]Invoeren'!M84</f>
        <v>0</v>
      </c>
      <c r="J91" s="329">
        <f>'[2]Invoeren'!N84</f>
        <v>0</v>
      </c>
      <c r="K91" s="330">
        <f>'[2]Invoeren'!$C84</f>
        <v>0</v>
      </c>
      <c r="L91" s="324">
        <f>'[2]Invoeren'!AI85</f>
        <v>0</v>
      </c>
      <c r="M91" s="324">
        <f>'[2]Invoeren'!BC85</f>
        <v>0</v>
      </c>
      <c r="N91" s="324">
        <f>'[2]Invoeren'!BW85</f>
        <v>0</v>
      </c>
      <c r="O91" s="324">
        <f>'[2]Invoeren'!CQ85</f>
        <v>0</v>
      </c>
    </row>
    <row r="92" spans="1:15" ht="12" customHeight="1">
      <c r="A92" s="325">
        <f>'[2]Invoeren'!B86</f>
        <v>1</v>
      </c>
      <c r="B92" s="326">
        <f>'[2]Invoeren'!A85</f>
        <v>79</v>
      </c>
      <c r="C92" s="317">
        <v>200201342</v>
      </c>
      <c r="D92" t="s">
        <v>313</v>
      </c>
      <c r="E92" s="318" t="s">
        <v>251</v>
      </c>
      <c r="F92" s="319"/>
      <c r="G92" s="319" t="s">
        <v>230</v>
      </c>
      <c r="H92" s="327">
        <f>'[2]Invoeren'!L77</f>
        <v>0</v>
      </c>
      <c r="I92" s="328">
        <f>'[2]Invoeren'!M85</f>
        <v>0</v>
      </c>
      <c r="J92" s="329">
        <f>'[2]Invoeren'!N85</f>
        <v>0</v>
      </c>
      <c r="K92" s="330">
        <f>'[2]Invoeren'!$C85</f>
        <v>0</v>
      </c>
      <c r="L92" s="324">
        <f>'[2]Invoeren'!AI86</f>
        <v>0</v>
      </c>
      <c r="M92" s="324">
        <f>'[2]Invoeren'!BC86</f>
        <v>0</v>
      </c>
      <c r="N92" s="324">
        <f>'[2]Invoeren'!BW86</f>
        <v>0</v>
      </c>
      <c r="O92" s="324">
        <f>'[2]Invoeren'!CQ86</f>
        <v>0</v>
      </c>
    </row>
    <row r="93" spans="1:15" ht="12.75">
      <c r="A93" s="325">
        <f>'[2]Invoeren'!B87</f>
        <v>1</v>
      </c>
      <c r="B93" s="326">
        <f>'[2]Invoeren'!A86</f>
        <v>80</v>
      </c>
      <c r="C93" s="46">
        <v>199503762</v>
      </c>
      <c r="D93" s="331" t="s">
        <v>314</v>
      </c>
      <c r="E93" s="332" t="s">
        <v>229</v>
      </c>
      <c r="F93" s="319"/>
      <c r="G93" s="319" t="s">
        <v>230</v>
      </c>
      <c r="H93" s="327">
        <f>'[2]Invoeren'!L78</f>
        <v>0</v>
      </c>
      <c r="I93" s="328">
        <f>'[2]Invoeren'!M86</f>
        <v>0</v>
      </c>
      <c r="J93" s="329">
        <f>'[2]Invoeren'!N86</f>
        <v>0</v>
      </c>
      <c r="K93" s="330">
        <f>'[2]Invoeren'!$C86</f>
        <v>0</v>
      </c>
      <c r="L93" s="324">
        <f>'[2]Invoeren'!AI87</f>
        <v>0</v>
      </c>
      <c r="M93" s="324">
        <f>'[2]Invoeren'!BC87</f>
        <v>0</v>
      </c>
      <c r="N93" s="324">
        <f>'[2]Invoeren'!BW87</f>
        <v>0</v>
      </c>
      <c r="O93" s="324">
        <f>'[2]Invoeren'!CQ87</f>
        <v>0</v>
      </c>
    </row>
    <row r="94" spans="1:15" ht="12.75">
      <c r="A94" s="325">
        <f>'[2]Invoeren'!B88</f>
        <v>1</v>
      </c>
      <c r="B94" s="326">
        <f>'[2]Invoeren'!A87</f>
        <v>81</v>
      </c>
      <c r="C94" s="317">
        <v>200005862</v>
      </c>
      <c r="D94" t="s">
        <v>315</v>
      </c>
      <c r="E94" s="318" t="s">
        <v>235</v>
      </c>
      <c r="F94" s="319"/>
      <c r="G94" s="319" t="s">
        <v>230</v>
      </c>
      <c r="H94" s="327">
        <f>'[2]Invoeren'!L79</f>
        <v>0</v>
      </c>
      <c r="I94" s="328">
        <f>'[2]Invoeren'!M87</f>
        <v>0</v>
      </c>
      <c r="J94" s="329">
        <f>'[2]Invoeren'!N87</f>
        <v>0</v>
      </c>
      <c r="K94" s="330">
        <f>'[2]Invoeren'!$C87</f>
        <v>0</v>
      </c>
      <c r="L94" s="324">
        <f>'[2]Invoeren'!AI88</f>
        <v>0</v>
      </c>
      <c r="M94" s="324">
        <f>'[2]Invoeren'!BC88</f>
        <v>0</v>
      </c>
      <c r="N94" s="324">
        <f>'[2]Invoeren'!BW88</f>
        <v>0</v>
      </c>
      <c r="O94" s="324">
        <f>'[2]Invoeren'!CQ88</f>
        <v>0</v>
      </c>
    </row>
    <row r="95" spans="1:15" ht="12.75">
      <c r="A95" s="325">
        <f>'[2]Invoeren'!B89</f>
        <v>1</v>
      </c>
      <c r="B95" s="326">
        <f>'[2]Invoeren'!A88</f>
        <v>82</v>
      </c>
      <c r="C95" s="46">
        <v>199203448</v>
      </c>
      <c r="D95" s="331" t="s">
        <v>316</v>
      </c>
      <c r="E95" s="332" t="s">
        <v>229</v>
      </c>
      <c r="F95" s="319"/>
      <c r="G95" s="319" t="s">
        <v>230</v>
      </c>
      <c r="H95" s="327">
        <f>'[2]Invoeren'!L80</f>
        <v>0</v>
      </c>
      <c r="I95" s="328">
        <f>'[2]Invoeren'!M88</f>
        <v>0</v>
      </c>
      <c r="J95" s="329">
        <f>'[2]Invoeren'!N88</f>
        <v>0</v>
      </c>
      <c r="K95" s="330">
        <f>'[2]Invoeren'!$C88</f>
        <v>0</v>
      </c>
      <c r="L95" s="324">
        <f>'[2]Invoeren'!AI89</f>
        <v>0</v>
      </c>
      <c r="M95" s="324">
        <f>'[2]Invoeren'!BC89</f>
        <v>0</v>
      </c>
      <c r="N95" s="324">
        <f>'[2]Invoeren'!BW89</f>
        <v>0</v>
      </c>
      <c r="O95" s="324">
        <f>'[2]Invoeren'!CQ89</f>
        <v>0</v>
      </c>
    </row>
    <row r="96" spans="1:15" ht="12.75">
      <c r="A96" s="325">
        <f>'[2]Invoeren'!B90</f>
        <v>1</v>
      </c>
      <c r="B96" s="326">
        <f>'[2]Invoeren'!A89</f>
        <v>83</v>
      </c>
      <c r="C96" s="317"/>
      <c r="D96" t="s">
        <v>317</v>
      </c>
      <c r="E96" s="318" t="s">
        <v>246</v>
      </c>
      <c r="F96" s="319"/>
      <c r="G96" s="319" t="s">
        <v>230</v>
      </c>
      <c r="H96" s="327">
        <f>'[2]Invoeren'!L81</f>
        <v>0</v>
      </c>
      <c r="I96" s="328">
        <f>'[2]Invoeren'!M89</f>
        <v>0</v>
      </c>
      <c r="J96" s="329">
        <f>'[2]Invoeren'!N89</f>
        <v>0</v>
      </c>
      <c r="K96" s="330">
        <f>'[2]Invoeren'!$C89</f>
        <v>0</v>
      </c>
      <c r="L96" s="324">
        <f>'[2]Invoeren'!AI90</f>
        <v>0</v>
      </c>
      <c r="M96" s="324">
        <f>'[2]Invoeren'!BC90</f>
        <v>0</v>
      </c>
      <c r="N96" s="324">
        <f>'[2]Invoeren'!BW90</f>
        <v>0</v>
      </c>
      <c r="O96" s="324">
        <f>'[2]Invoeren'!CQ90</f>
        <v>0</v>
      </c>
    </row>
    <row r="97" spans="1:15" ht="12.75">
      <c r="A97" s="325">
        <f>'[2]Invoeren'!B91</f>
        <v>1</v>
      </c>
      <c r="B97" s="326">
        <f>'[2]Invoeren'!A90</f>
        <v>84</v>
      </c>
      <c r="C97" s="82">
        <v>200002626</v>
      </c>
      <c r="D97" s="331" t="s">
        <v>318</v>
      </c>
      <c r="E97" s="318" t="s">
        <v>251</v>
      </c>
      <c r="F97" s="319"/>
      <c r="G97" s="319" t="s">
        <v>230</v>
      </c>
      <c r="H97" s="327">
        <f>'[2]Invoeren'!L82</f>
        <v>0</v>
      </c>
      <c r="I97" s="328">
        <f>'[2]Invoeren'!M90</f>
        <v>0</v>
      </c>
      <c r="J97" s="329">
        <f>'[2]Invoeren'!N90</f>
        <v>0</v>
      </c>
      <c r="K97" s="330">
        <f>'[2]Invoeren'!$C90</f>
        <v>0</v>
      </c>
      <c r="L97" s="324">
        <f>'[2]Invoeren'!AI91</f>
        <v>0</v>
      </c>
      <c r="M97" s="324">
        <f>'[2]Invoeren'!BC91</f>
        <v>0</v>
      </c>
      <c r="N97" s="324">
        <f>'[2]Invoeren'!BW91</f>
        <v>0</v>
      </c>
      <c r="O97" s="324">
        <f>'[2]Invoeren'!CQ91</f>
        <v>0</v>
      </c>
    </row>
    <row r="98" spans="1:15" ht="12.75">
      <c r="A98" s="325">
        <f>'[2]Invoeren'!B92</f>
        <v>1</v>
      </c>
      <c r="B98" s="326">
        <f>'[2]Invoeren'!A91</f>
        <v>85</v>
      </c>
      <c r="C98" s="46">
        <v>200002628</v>
      </c>
      <c r="D98" s="331" t="s">
        <v>319</v>
      </c>
      <c r="E98" s="318" t="s">
        <v>251</v>
      </c>
      <c r="F98" s="319"/>
      <c r="G98" s="319" t="s">
        <v>230</v>
      </c>
      <c r="H98" s="327">
        <f>'[2]Invoeren'!L83</f>
        <v>0</v>
      </c>
      <c r="I98" s="328">
        <f>'[2]Invoeren'!M91</f>
        <v>0</v>
      </c>
      <c r="J98" s="329">
        <f>'[2]Invoeren'!N91</f>
        <v>0</v>
      </c>
      <c r="K98" s="330">
        <f>'[2]Invoeren'!$C91</f>
        <v>0</v>
      </c>
      <c r="L98" s="324">
        <f>'[2]Invoeren'!AI92</f>
        <v>0</v>
      </c>
      <c r="M98" s="324">
        <f>'[2]Invoeren'!BC92</f>
        <v>0</v>
      </c>
      <c r="N98" s="324">
        <f>'[2]Invoeren'!BW92</f>
        <v>0</v>
      </c>
      <c r="O98" s="324">
        <f>'[2]Invoeren'!CQ92</f>
        <v>0</v>
      </c>
    </row>
    <row r="99" spans="1:15" ht="12.75">
      <c r="A99" s="325">
        <f>'[2]Invoeren'!B93</f>
        <v>1</v>
      </c>
      <c r="B99" s="326">
        <f>'[2]Invoeren'!A92</f>
        <v>86</v>
      </c>
      <c r="C99" s="317">
        <v>199906186</v>
      </c>
      <c r="D99" t="s">
        <v>320</v>
      </c>
      <c r="E99" s="318" t="s">
        <v>246</v>
      </c>
      <c r="F99" s="319"/>
      <c r="G99" s="319" t="s">
        <v>230</v>
      </c>
      <c r="H99" s="327">
        <f>'[2]Invoeren'!L84</f>
        <v>0</v>
      </c>
      <c r="I99" s="328">
        <f>'[2]Invoeren'!M92</f>
        <v>0</v>
      </c>
      <c r="J99" s="329">
        <f>'[2]Invoeren'!N92</f>
        <v>0</v>
      </c>
      <c r="K99" s="330">
        <f>'[2]Invoeren'!$C92</f>
        <v>0</v>
      </c>
      <c r="L99" s="324">
        <f>'[2]Invoeren'!AI93</f>
        <v>0</v>
      </c>
      <c r="M99" s="324">
        <f>'[2]Invoeren'!BC93</f>
        <v>0</v>
      </c>
      <c r="N99" s="324">
        <f>'[2]Invoeren'!BW93</f>
        <v>0</v>
      </c>
      <c r="O99" s="324">
        <f>'[2]Invoeren'!CQ93</f>
        <v>0</v>
      </c>
    </row>
    <row r="100" spans="1:15" ht="12.75">
      <c r="A100" s="325">
        <f>'[2]Invoeren'!B94</f>
        <v>1</v>
      </c>
      <c r="B100" s="326">
        <f>'[2]Invoeren'!A93</f>
        <v>87</v>
      </c>
      <c r="C100" s="317">
        <v>200204242</v>
      </c>
      <c r="D100" t="s">
        <v>321</v>
      </c>
      <c r="E100" s="318" t="s">
        <v>229</v>
      </c>
      <c r="F100" s="319"/>
      <c r="G100" s="319" t="s">
        <v>230</v>
      </c>
      <c r="H100" s="327">
        <f>'[2]Invoeren'!L85</f>
        <v>0</v>
      </c>
      <c r="I100" s="328">
        <f>'[2]Invoeren'!M93</f>
        <v>0</v>
      </c>
      <c r="J100" s="329">
        <f>'[2]Invoeren'!N93</f>
        <v>0</v>
      </c>
      <c r="K100" s="330">
        <f>'[2]Invoeren'!$C93</f>
        <v>0</v>
      </c>
      <c r="L100" s="324">
        <f>'[2]Invoeren'!AI94</f>
        <v>0</v>
      </c>
      <c r="M100" s="324">
        <f>'[2]Invoeren'!BC94</f>
        <v>0</v>
      </c>
      <c r="N100" s="324">
        <f>'[2]Invoeren'!BW94</f>
        <v>0</v>
      </c>
      <c r="O100" s="324">
        <f>'[2]Invoeren'!CQ94</f>
        <v>0</v>
      </c>
    </row>
    <row r="101" spans="1:15" ht="12.75">
      <c r="A101" s="325">
        <f>'[2]Invoeren'!B95</f>
        <v>1</v>
      </c>
      <c r="B101" s="326">
        <f>'[2]Invoeren'!A94</f>
        <v>88</v>
      </c>
      <c r="C101" s="46">
        <v>199301990</v>
      </c>
      <c r="D101" s="331" t="s">
        <v>322</v>
      </c>
      <c r="E101" s="318" t="s">
        <v>254</v>
      </c>
      <c r="F101" s="319"/>
      <c r="G101" s="319" t="s">
        <v>230</v>
      </c>
      <c r="H101" s="327">
        <f>'[2]Invoeren'!L86</f>
        <v>0</v>
      </c>
      <c r="I101" s="328">
        <f>'[2]Invoeren'!M94</f>
        <v>0</v>
      </c>
      <c r="J101" s="329">
        <f>'[2]Invoeren'!N94</f>
        <v>0</v>
      </c>
      <c r="K101" s="330">
        <f>'[2]Invoeren'!$C94</f>
        <v>0</v>
      </c>
      <c r="L101" s="324">
        <f>'[2]Invoeren'!AI95</f>
        <v>0</v>
      </c>
      <c r="M101" s="324">
        <f>'[2]Invoeren'!BC95</f>
        <v>0</v>
      </c>
      <c r="N101" s="324">
        <f>'[2]Invoeren'!BW95</f>
        <v>0</v>
      </c>
      <c r="O101" s="324">
        <f>'[2]Invoeren'!CQ95</f>
        <v>0</v>
      </c>
    </row>
    <row r="102" spans="1:15" ht="12.75">
      <c r="A102" s="325">
        <f>'[2]Invoeren'!B96</f>
        <v>1</v>
      </c>
      <c r="B102" s="326">
        <f>'[2]Invoeren'!A95</f>
        <v>89</v>
      </c>
      <c r="C102" s="46">
        <v>199504636</v>
      </c>
      <c r="D102" s="331" t="s">
        <v>323</v>
      </c>
      <c r="E102" s="318" t="s">
        <v>254</v>
      </c>
      <c r="F102" s="319"/>
      <c r="G102" s="319" t="s">
        <v>230</v>
      </c>
      <c r="H102" s="327">
        <f>'[2]Invoeren'!L87</f>
        <v>0</v>
      </c>
      <c r="I102" s="328"/>
      <c r="J102" s="329">
        <f>'[2]Invoeren'!N95</f>
        <v>0</v>
      </c>
      <c r="K102" s="330">
        <f>'[2]Invoeren'!$C95</f>
        <v>0</v>
      </c>
      <c r="L102" s="324">
        <f>'[2]Invoeren'!AI96</f>
        <v>0</v>
      </c>
      <c r="M102" s="324">
        <f>'[2]Invoeren'!BC96</f>
        <v>0</v>
      </c>
      <c r="N102" s="324">
        <f>'[2]Invoeren'!BW96</f>
        <v>0</v>
      </c>
      <c r="O102" s="324">
        <f>'[2]Invoeren'!CQ96</f>
        <v>0</v>
      </c>
    </row>
    <row r="103" spans="1:15" ht="12.75">
      <c r="A103" s="325">
        <f>'[2]Invoeren'!B97</f>
        <v>1</v>
      </c>
      <c r="B103" s="326">
        <f>'[2]Invoeren'!A96</f>
        <v>90</v>
      </c>
      <c r="C103" s="46">
        <v>199903770</v>
      </c>
      <c r="D103" s="331" t="s">
        <v>324</v>
      </c>
      <c r="E103" s="318" t="s">
        <v>246</v>
      </c>
      <c r="F103" s="319"/>
      <c r="G103" s="319" t="s">
        <v>230</v>
      </c>
      <c r="H103" s="327">
        <f>'[2]Invoeren'!L88</f>
        <v>0</v>
      </c>
      <c r="I103" s="328"/>
      <c r="J103" s="329">
        <f>'[2]Invoeren'!N96</f>
        <v>0</v>
      </c>
      <c r="K103" s="330">
        <f>'[2]Invoeren'!$C96</f>
        <v>0</v>
      </c>
      <c r="L103" s="324">
        <f>'[2]Invoeren'!AI97</f>
        <v>0</v>
      </c>
      <c r="M103" s="324">
        <f>'[2]Invoeren'!BC97</f>
        <v>0</v>
      </c>
      <c r="N103" s="324">
        <f>'[2]Invoeren'!BW97</f>
        <v>0</v>
      </c>
      <c r="O103" s="324">
        <f>'[2]Invoeren'!CQ97</f>
        <v>0</v>
      </c>
    </row>
    <row r="104" spans="1:15" ht="12.75">
      <c r="A104" s="325">
        <f>'[2]Invoeren'!B98</f>
        <v>1</v>
      </c>
      <c r="B104" s="326">
        <f>'[2]Invoeren'!A97</f>
        <v>91</v>
      </c>
      <c r="C104" s="46">
        <v>199404822</v>
      </c>
      <c r="D104" s="331" t="s">
        <v>325</v>
      </c>
      <c r="E104" s="318" t="s">
        <v>239</v>
      </c>
      <c r="F104" s="319"/>
      <c r="G104" s="319" t="s">
        <v>230</v>
      </c>
      <c r="H104" s="327">
        <f>'[2]Invoeren'!L89</f>
        <v>0</v>
      </c>
      <c r="I104" s="328">
        <f>'[2]Invoeren'!M97</f>
        <v>0</v>
      </c>
      <c r="J104" s="329">
        <f>'[2]Invoeren'!N97</f>
        <v>0</v>
      </c>
      <c r="K104" s="330">
        <f>'[2]Invoeren'!$C97</f>
        <v>0</v>
      </c>
      <c r="L104" s="324">
        <f>'[2]Invoeren'!AI98</f>
        <v>0</v>
      </c>
      <c r="M104" s="324">
        <f>'[2]Invoeren'!BC98</f>
        <v>0</v>
      </c>
      <c r="N104" s="324">
        <f>'[2]Invoeren'!BW98</f>
        <v>0</v>
      </c>
      <c r="O104" s="324">
        <f>'[2]Invoeren'!CQ98</f>
        <v>0</v>
      </c>
    </row>
    <row r="105" spans="1:15" ht="12.75">
      <c r="A105" s="325">
        <f>'[2]Invoeren'!B99</f>
        <v>1</v>
      </c>
      <c r="B105" s="326">
        <f>'[2]Invoeren'!A98</f>
        <v>92</v>
      </c>
      <c r="C105" s="46">
        <v>198803166</v>
      </c>
      <c r="D105" s="331" t="s">
        <v>326</v>
      </c>
      <c r="E105" s="318" t="s">
        <v>251</v>
      </c>
      <c r="F105" s="319"/>
      <c r="G105" s="319" t="s">
        <v>230</v>
      </c>
      <c r="H105" s="327">
        <f>'[2]Invoeren'!L90</f>
        <v>0</v>
      </c>
      <c r="I105" s="328">
        <f>'[2]Invoeren'!M98</f>
        <v>0</v>
      </c>
      <c r="J105" s="329">
        <f>'[2]Invoeren'!N98</f>
        <v>0</v>
      </c>
      <c r="K105" s="330">
        <f>'[2]Invoeren'!$C98</f>
        <v>0</v>
      </c>
      <c r="L105" s="324">
        <f>'[2]Invoeren'!AI99</f>
        <v>0</v>
      </c>
      <c r="M105" s="324">
        <f>'[2]Invoeren'!BC99</f>
        <v>0</v>
      </c>
      <c r="N105" s="324">
        <f>'[2]Invoeren'!BW99</f>
        <v>0</v>
      </c>
      <c r="O105" s="324">
        <f>'[2]Invoeren'!CQ99</f>
        <v>0</v>
      </c>
    </row>
    <row r="106" spans="1:15" ht="12.75">
      <c r="A106" s="325">
        <f>'[2]Invoeren'!B100</f>
        <v>1</v>
      </c>
      <c r="B106" s="326">
        <f>'[2]Invoeren'!A99</f>
        <v>93</v>
      </c>
      <c r="C106" s="46">
        <v>199701942</v>
      </c>
      <c r="D106" s="331" t="s">
        <v>327</v>
      </c>
      <c r="E106" s="318" t="s">
        <v>254</v>
      </c>
      <c r="F106" s="319"/>
      <c r="G106" s="319" t="s">
        <v>230</v>
      </c>
      <c r="H106" s="327">
        <f>'[2]Invoeren'!L91</f>
        <v>0</v>
      </c>
      <c r="I106" s="328">
        <f>'[2]Invoeren'!M99</f>
        <v>0</v>
      </c>
      <c r="J106" s="329">
        <f>'[2]Invoeren'!N99</f>
        <v>0</v>
      </c>
      <c r="K106" s="330">
        <f>'[2]Invoeren'!$C99</f>
        <v>0</v>
      </c>
      <c r="L106" s="324">
        <f>'[2]Invoeren'!AI100</f>
        <v>0</v>
      </c>
      <c r="M106" s="324">
        <f>'[2]Invoeren'!BC100</f>
        <v>0</v>
      </c>
      <c r="N106" s="324">
        <f>'[2]Invoeren'!BW100</f>
        <v>0</v>
      </c>
      <c r="O106" s="324">
        <f>'[2]Invoeren'!CQ100</f>
        <v>0</v>
      </c>
    </row>
    <row r="107" spans="1:15" ht="12.75">
      <c r="A107" s="325">
        <f>'[2]Invoeren'!B101</f>
        <v>1</v>
      </c>
      <c r="B107" s="326">
        <f>'[2]Invoeren'!A100</f>
        <v>94</v>
      </c>
      <c r="C107" s="317">
        <v>200303582</v>
      </c>
      <c r="D107" t="s">
        <v>328</v>
      </c>
      <c r="E107" s="318" t="s">
        <v>246</v>
      </c>
      <c r="F107" s="319"/>
      <c r="G107" s="319" t="s">
        <v>230</v>
      </c>
      <c r="H107" s="327">
        <f>'[2]Invoeren'!L92</f>
        <v>0</v>
      </c>
      <c r="I107" s="328">
        <f>'[2]Invoeren'!M100</f>
        <v>0</v>
      </c>
      <c r="J107" s="329">
        <f>'[2]Invoeren'!N100</f>
        <v>0</v>
      </c>
      <c r="K107" s="330">
        <f>'[2]Invoeren'!$C100</f>
        <v>0</v>
      </c>
      <c r="L107" s="324">
        <f>'[2]Invoeren'!AI101</f>
        <v>0</v>
      </c>
      <c r="M107" s="324">
        <f>'[2]Invoeren'!BC101</f>
        <v>0</v>
      </c>
      <c r="N107" s="324">
        <f>'[2]Invoeren'!BW101</f>
        <v>0</v>
      </c>
      <c r="O107" s="324">
        <f>'[2]Invoeren'!CQ101</f>
        <v>0</v>
      </c>
    </row>
    <row r="108" spans="1:15" ht="12.75">
      <c r="A108" s="325">
        <f>'[2]Invoeren'!B102</f>
        <v>1</v>
      </c>
      <c r="B108" s="326">
        <f>'[2]Invoeren'!A101</f>
        <v>95</v>
      </c>
      <c r="C108" s="317">
        <v>200301828</v>
      </c>
      <c r="D108" t="s">
        <v>329</v>
      </c>
      <c r="E108" s="318" t="s">
        <v>254</v>
      </c>
      <c r="F108" s="319"/>
      <c r="G108" s="319" t="s">
        <v>230</v>
      </c>
      <c r="H108" s="327">
        <f>'[2]Invoeren'!L93</f>
        <v>0</v>
      </c>
      <c r="I108" s="328">
        <f>'[2]Invoeren'!M101</f>
        <v>0</v>
      </c>
      <c r="J108" s="329">
        <f>'[2]Invoeren'!N101</f>
        <v>0</v>
      </c>
      <c r="K108" s="330">
        <f>'[2]Invoeren'!$C101</f>
        <v>0</v>
      </c>
      <c r="L108" s="324">
        <f>'[2]Invoeren'!AI102</f>
        <v>0</v>
      </c>
      <c r="M108" s="324">
        <f>'[2]Invoeren'!BC102</f>
        <v>0</v>
      </c>
      <c r="N108" s="324">
        <f>'[2]Invoeren'!BW102</f>
        <v>0</v>
      </c>
      <c r="O108" s="324">
        <f>'[2]Invoeren'!CQ102</f>
        <v>0</v>
      </c>
    </row>
    <row r="109" spans="1:15" ht="12.75">
      <c r="A109" s="325">
        <f>'[2]Invoeren'!B103</f>
        <v>1</v>
      </c>
      <c r="B109" s="326">
        <f>'[2]Invoeren'!A102</f>
        <v>96</v>
      </c>
      <c r="C109" s="46">
        <v>199306174</v>
      </c>
      <c r="D109" s="331" t="s">
        <v>330</v>
      </c>
      <c r="E109" s="318" t="s">
        <v>239</v>
      </c>
      <c r="F109" s="319"/>
      <c r="G109" s="319" t="s">
        <v>230</v>
      </c>
      <c r="H109" s="327">
        <f>'[2]Invoeren'!L94</f>
        <v>0</v>
      </c>
      <c r="I109" s="328">
        <f>'[2]Invoeren'!M102</f>
        <v>0</v>
      </c>
      <c r="J109" s="329">
        <f>'[2]Invoeren'!N102</f>
        <v>0</v>
      </c>
      <c r="K109" s="330">
        <f>'[2]Invoeren'!$C102</f>
        <v>0</v>
      </c>
      <c r="L109" s="324">
        <f>'[2]Invoeren'!AI103</f>
        <v>0</v>
      </c>
      <c r="M109" s="324">
        <f>'[2]Invoeren'!BC103</f>
        <v>0</v>
      </c>
      <c r="N109" s="324">
        <f>'[2]Invoeren'!BW103</f>
        <v>0</v>
      </c>
      <c r="O109" s="324">
        <f>'[2]Invoeren'!CQ103</f>
        <v>0</v>
      </c>
    </row>
    <row r="110" spans="1:15" ht="12.75">
      <c r="A110" s="325">
        <f>'[2]Invoeren'!B104</f>
        <v>1</v>
      </c>
      <c r="B110" s="326">
        <f>'[2]Invoeren'!A103</f>
        <v>97</v>
      </c>
      <c r="C110" s="46">
        <v>199506460</v>
      </c>
      <c r="D110" s="332" t="s">
        <v>331</v>
      </c>
      <c r="E110" s="318" t="s">
        <v>235</v>
      </c>
      <c r="F110" s="319"/>
      <c r="G110" s="319" t="s">
        <v>230</v>
      </c>
      <c r="H110" s="327">
        <f>'[2]Invoeren'!L95</f>
        <v>0</v>
      </c>
      <c r="I110" s="328">
        <f>'[2]Invoeren'!M103</f>
        <v>0</v>
      </c>
      <c r="J110" s="329">
        <f>'[2]Invoeren'!N103</f>
        <v>0</v>
      </c>
      <c r="K110" s="330">
        <f>'[2]Invoeren'!$C103</f>
        <v>0</v>
      </c>
      <c r="L110" s="324">
        <f>'[2]Invoeren'!AI104</f>
        <v>0</v>
      </c>
      <c r="M110" s="324">
        <f>'[2]Invoeren'!BC104</f>
        <v>0</v>
      </c>
      <c r="N110" s="324">
        <f>'[2]Invoeren'!BW104</f>
        <v>0</v>
      </c>
      <c r="O110" s="324">
        <f>'[2]Invoeren'!CQ104</f>
        <v>0</v>
      </c>
    </row>
    <row r="111" spans="1:15" ht="12.75">
      <c r="A111" s="325">
        <f>'[2]Invoeren'!B105</f>
        <v>1</v>
      </c>
      <c r="B111" s="326">
        <f>'[2]Invoeren'!A104</f>
        <v>98</v>
      </c>
      <c r="C111" s="46">
        <v>199703708</v>
      </c>
      <c r="D111" s="331" t="s">
        <v>332</v>
      </c>
      <c r="E111" s="318" t="s">
        <v>246</v>
      </c>
      <c r="F111" s="319"/>
      <c r="G111" s="319" t="s">
        <v>230</v>
      </c>
      <c r="H111" s="327">
        <f>'[2]Invoeren'!L96</f>
        <v>0</v>
      </c>
      <c r="I111" s="328">
        <f>'[2]Invoeren'!M104</f>
        <v>0</v>
      </c>
      <c r="J111" s="329">
        <f>'[2]Invoeren'!N104</f>
        <v>0</v>
      </c>
      <c r="K111" s="330">
        <f>'[2]Invoeren'!$C104</f>
        <v>0</v>
      </c>
      <c r="L111" s="324">
        <f>'[2]Invoeren'!AI105</f>
        <v>0</v>
      </c>
      <c r="M111" s="324">
        <f>'[2]Invoeren'!BC105</f>
        <v>0</v>
      </c>
      <c r="N111" s="324">
        <f>'[2]Invoeren'!BW105</f>
        <v>0</v>
      </c>
      <c r="O111" s="324">
        <f>'[2]Invoeren'!CQ105</f>
        <v>0</v>
      </c>
    </row>
    <row r="112" spans="1:15" ht="12.75">
      <c r="A112" s="325">
        <f>'[2]Invoeren'!B106</f>
        <v>1</v>
      </c>
      <c r="B112" s="326">
        <f>'[2]Invoeren'!A105</f>
        <v>99</v>
      </c>
      <c r="C112" s="317">
        <v>200302822</v>
      </c>
      <c r="D112" t="s">
        <v>333</v>
      </c>
      <c r="E112" s="318" t="s">
        <v>229</v>
      </c>
      <c r="F112" s="319"/>
      <c r="G112" s="319" t="s">
        <v>230</v>
      </c>
      <c r="H112" s="327">
        <f>'[2]Invoeren'!L97</f>
        <v>0</v>
      </c>
      <c r="I112" s="328">
        <f>'[2]Invoeren'!M105</f>
        <v>0</v>
      </c>
      <c r="J112" s="329">
        <f>'[2]Invoeren'!N105</f>
        <v>0</v>
      </c>
      <c r="K112" s="330">
        <f>'[2]Invoeren'!$C105</f>
        <v>0</v>
      </c>
      <c r="L112" s="324">
        <f>'[2]Invoeren'!AI106</f>
        <v>0</v>
      </c>
      <c r="M112" s="324">
        <f>'[2]Invoeren'!BC106</f>
        <v>0</v>
      </c>
      <c r="N112" s="324">
        <f>'[2]Invoeren'!BW106</f>
        <v>0</v>
      </c>
      <c r="O112" s="324">
        <f>'[2]Invoeren'!CQ106</f>
        <v>0</v>
      </c>
    </row>
    <row r="113" spans="1:15" ht="12.75">
      <c r="A113" s="325">
        <f>'[2]Invoeren'!B107</f>
        <v>1</v>
      </c>
      <c r="B113" s="326">
        <f>'[2]Invoeren'!A106</f>
        <v>100</v>
      </c>
      <c r="C113" s="46">
        <v>199803680</v>
      </c>
      <c r="D113" s="332" t="s">
        <v>334</v>
      </c>
      <c r="E113" s="318" t="s">
        <v>235</v>
      </c>
      <c r="F113" s="319"/>
      <c r="G113" s="319" t="s">
        <v>230</v>
      </c>
      <c r="H113" s="327">
        <f>'[2]Invoeren'!L98</f>
        <v>0</v>
      </c>
      <c r="I113" s="328">
        <f>'[2]Invoeren'!M106</f>
        <v>0</v>
      </c>
      <c r="J113" s="329">
        <f>'[2]Invoeren'!N106</f>
        <v>0</v>
      </c>
      <c r="K113" s="330">
        <f>'[2]Invoeren'!$C106</f>
        <v>0</v>
      </c>
      <c r="L113" s="324">
        <f>'[2]Invoeren'!AI107</f>
        <v>0</v>
      </c>
      <c r="M113" s="324">
        <f>'[2]Invoeren'!BC107</f>
        <v>0</v>
      </c>
      <c r="N113" s="324">
        <f>'[2]Invoeren'!BW107</f>
        <v>0</v>
      </c>
      <c r="O113" s="324">
        <f>'[2]Invoeren'!CQ107</f>
        <v>0</v>
      </c>
    </row>
    <row r="114" spans="1:15" ht="12.75">
      <c r="A114" s="325">
        <f>'[2]Invoeren'!B108</f>
        <v>1</v>
      </c>
      <c r="B114" s="326">
        <f>'[2]Invoeren'!A107</f>
        <v>101</v>
      </c>
      <c r="C114" s="46">
        <v>199603356</v>
      </c>
      <c r="D114" s="331" t="s">
        <v>335</v>
      </c>
      <c r="E114" s="318" t="s">
        <v>251</v>
      </c>
      <c r="F114" s="319"/>
      <c r="G114" s="319" t="s">
        <v>230</v>
      </c>
      <c r="H114" s="327">
        <f>'[2]Invoeren'!L99</f>
        <v>0</v>
      </c>
      <c r="I114" s="328">
        <f>'[2]Invoeren'!M107</f>
        <v>0</v>
      </c>
      <c r="J114" s="329">
        <f>'[2]Invoeren'!N107</f>
        <v>0</v>
      </c>
      <c r="K114" s="330">
        <f>'[2]Invoeren'!$C107</f>
        <v>0</v>
      </c>
      <c r="L114" s="324">
        <f>'[2]Invoeren'!AI108</f>
        <v>0</v>
      </c>
      <c r="M114" s="324">
        <f>'[2]Invoeren'!BC108</f>
        <v>0</v>
      </c>
      <c r="N114" s="324">
        <f>'[2]Invoeren'!BW108</f>
        <v>0</v>
      </c>
      <c r="O114" s="324">
        <f>'[2]Invoeren'!CQ108</f>
        <v>0</v>
      </c>
    </row>
    <row r="115" spans="1:15" ht="12.75">
      <c r="A115" s="325">
        <f>'[2]Invoeren'!B109</f>
        <v>1</v>
      </c>
      <c r="B115" s="326">
        <f>'[2]Invoeren'!A108</f>
        <v>102</v>
      </c>
      <c r="C115" s="46">
        <v>199600480</v>
      </c>
      <c r="D115" s="331" t="s">
        <v>336</v>
      </c>
      <c r="E115" s="318" t="s">
        <v>246</v>
      </c>
      <c r="F115" s="319"/>
      <c r="G115" s="319" t="s">
        <v>230</v>
      </c>
      <c r="H115" s="327">
        <f>'[2]Invoeren'!L101</f>
        <v>0</v>
      </c>
      <c r="I115" s="328">
        <f>'[2]Invoeren'!M108</f>
        <v>0</v>
      </c>
      <c r="J115" s="329">
        <f>'[2]Invoeren'!N108</f>
        <v>0</v>
      </c>
      <c r="K115" s="330">
        <f>'[2]Invoeren'!$C108</f>
        <v>0</v>
      </c>
      <c r="L115" s="324">
        <f>'[2]Invoeren'!AI109</f>
        <v>0</v>
      </c>
      <c r="M115" s="324">
        <f>'[2]Invoeren'!BC109</f>
        <v>0</v>
      </c>
      <c r="N115" s="324">
        <f>'[2]Invoeren'!BW109</f>
        <v>0</v>
      </c>
      <c r="O115" s="324">
        <f>'[2]Invoeren'!CQ109</f>
        <v>0</v>
      </c>
    </row>
    <row r="116" spans="1:15" ht="12.75">
      <c r="A116" s="325">
        <f>'[2]Invoeren'!B110</f>
        <v>1</v>
      </c>
      <c r="B116" s="326">
        <f>'[2]Invoeren'!A109</f>
        <v>103</v>
      </c>
      <c r="C116" s="46">
        <v>199505798</v>
      </c>
      <c r="D116" s="331" t="s">
        <v>337</v>
      </c>
      <c r="E116" s="332" t="s">
        <v>229</v>
      </c>
      <c r="F116" s="319"/>
      <c r="G116" s="319" t="s">
        <v>230</v>
      </c>
      <c r="H116" s="327">
        <f>'[2]Invoeren'!L102</f>
        <v>0</v>
      </c>
      <c r="I116" s="328">
        <f>'[2]Invoeren'!M109</f>
        <v>0</v>
      </c>
      <c r="J116" s="329">
        <f>'[2]Invoeren'!N109</f>
        <v>0</v>
      </c>
      <c r="K116" s="330">
        <f>'[2]Invoeren'!$C109</f>
        <v>0</v>
      </c>
      <c r="L116" s="324">
        <f>'[2]Invoeren'!AI110</f>
        <v>0</v>
      </c>
      <c r="M116" s="324">
        <f>'[2]Invoeren'!BC110</f>
        <v>0</v>
      </c>
      <c r="N116" s="324">
        <f>'[2]Invoeren'!BW110</f>
        <v>0</v>
      </c>
      <c r="O116" s="324">
        <f>'[2]Invoeren'!CQ110</f>
        <v>0</v>
      </c>
    </row>
    <row r="117" spans="1:15" ht="12.75">
      <c r="A117" s="325">
        <f>'[2]Invoeren'!B111</f>
        <v>1</v>
      </c>
      <c r="B117" s="326">
        <f>'[2]Invoeren'!A110</f>
        <v>104</v>
      </c>
      <c r="C117" s="317">
        <v>200203040</v>
      </c>
      <c r="D117" t="s">
        <v>338</v>
      </c>
      <c r="E117" s="318" t="s">
        <v>251</v>
      </c>
      <c r="F117" s="319"/>
      <c r="G117" s="319" t="s">
        <v>230</v>
      </c>
      <c r="H117" s="327">
        <f>'[2]Invoeren'!L103</f>
        <v>0</v>
      </c>
      <c r="I117" s="328">
        <f>'[2]Invoeren'!M110</f>
        <v>0</v>
      </c>
      <c r="J117" s="329">
        <f>'[2]Invoeren'!N110</f>
        <v>0</v>
      </c>
      <c r="K117" s="330">
        <f>'[2]Invoeren'!$C110</f>
        <v>0</v>
      </c>
      <c r="L117" s="324">
        <f>'[2]Invoeren'!AI111</f>
        <v>0</v>
      </c>
      <c r="M117" s="324">
        <f>'[2]Invoeren'!BC111</f>
        <v>0</v>
      </c>
      <c r="N117" s="324">
        <f>'[2]Invoeren'!BW111</f>
        <v>0</v>
      </c>
      <c r="O117" s="324">
        <f>'[2]Invoeren'!CQ111</f>
        <v>0</v>
      </c>
    </row>
    <row r="118" spans="1:15" ht="12.75">
      <c r="A118" s="325">
        <f>'[2]Invoeren'!B112</f>
        <v>1</v>
      </c>
      <c r="B118" s="326">
        <f>'[2]Invoeren'!A111</f>
        <v>105</v>
      </c>
      <c r="C118" s="46">
        <v>200101300</v>
      </c>
      <c r="D118" s="331" t="s">
        <v>339</v>
      </c>
      <c r="E118" s="318" t="s">
        <v>251</v>
      </c>
      <c r="F118" s="319"/>
      <c r="G118" s="319" t="s">
        <v>230</v>
      </c>
      <c r="H118" s="327">
        <f>'[2]Invoeren'!L104</f>
        <v>0</v>
      </c>
      <c r="I118" s="328">
        <f>'[2]Invoeren'!M111</f>
        <v>0</v>
      </c>
      <c r="J118" s="329">
        <f>'[2]Invoeren'!N111</f>
        <v>0</v>
      </c>
      <c r="K118" s="330">
        <f>'[2]Invoeren'!$C111</f>
        <v>0</v>
      </c>
      <c r="L118" s="324">
        <f>'[2]Invoeren'!AI112</f>
        <v>0</v>
      </c>
      <c r="M118" s="324">
        <f>'[2]Invoeren'!BC112</f>
        <v>0</v>
      </c>
      <c r="N118" s="324">
        <f>'[2]Invoeren'!BW112</f>
        <v>0</v>
      </c>
      <c r="O118" s="324">
        <f>'[2]Invoeren'!CQ112</f>
        <v>0</v>
      </c>
    </row>
    <row r="119" spans="1:15" ht="12.75">
      <c r="A119" s="325">
        <f>'[2]Invoeren'!B113</f>
        <v>1</v>
      </c>
      <c r="B119" s="326">
        <f>'[2]Invoeren'!A112</f>
        <v>106</v>
      </c>
      <c r="C119" s="46">
        <v>200002652</v>
      </c>
      <c r="D119" s="331" t="s">
        <v>340</v>
      </c>
      <c r="E119" s="318" t="s">
        <v>246</v>
      </c>
      <c r="F119" s="319"/>
      <c r="G119" s="319" t="s">
        <v>230</v>
      </c>
      <c r="H119" s="327">
        <f>'[2]Invoeren'!L105</f>
        <v>0</v>
      </c>
      <c r="I119" s="328">
        <f>'[2]Invoeren'!M112</f>
        <v>0</v>
      </c>
      <c r="J119" s="329">
        <f>'[2]Invoeren'!N112</f>
        <v>0</v>
      </c>
      <c r="K119" s="330">
        <f>'[2]Invoeren'!$C112</f>
        <v>0</v>
      </c>
      <c r="L119" s="324">
        <f>'[2]Invoeren'!AI113</f>
        <v>0</v>
      </c>
      <c r="M119" s="324">
        <f>'[2]Invoeren'!BC113</f>
        <v>0</v>
      </c>
      <c r="N119" s="324">
        <f>'[2]Invoeren'!BW113</f>
        <v>0</v>
      </c>
      <c r="O119" s="324">
        <f>'[2]Invoeren'!CQ113</f>
        <v>0</v>
      </c>
    </row>
    <row r="120" spans="1:15" ht="12.75">
      <c r="A120" s="325">
        <f>'[2]Invoeren'!B114</f>
        <v>1</v>
      </c>
      <c r="B120" s="326">
        <f>'[2]Invoeren'!A113</f>
        <v>107</v>
      </c>
      <c r="C120" s="46">
        <v>200101316</v>
      </c>
      <c r="D120" s="331" t="s">
        <v>341</v>
      </c>
      <c r="E120" s="332" t="s">
        <v>239</v>
      </c>
      <c r="F120" s="319"/>
      <c r="G120" s="319" t="s">
        <v>230</v>
      </c>
      <c r="H120" s="327">
        <f>'[2]Invoeren'!L106</f>
        <v>0</v>
      </c>
      <c r="I120" s="328">
        <f>'[2]Invoeren'!M113</f>
        <v>0</v>
      </c>
      <c r="J120" s="329">
        <f>'[2]Invoeren'!N113</f>
        <v>0</v>
      </c>
      <c r="K120" s="330">
        <f>'[2]Invoeren'!$C113</f>
        <v>0</v>
      </c>
      <c r="L120" s="324">
        <f>'[2]Invoeren'!AI114</f>
        <v>0</v>
      </c>
      <c r="M120" s="324">
        <f>'[2]Invoeren'!BC114</f>
        <v>0</v>
      </c>
      <c r="N120" s="324">
        <f>'[2]Invoeren'!BW114</f>
        <v>0</v>
      </c>
      <c r="O120" s="324">
        <f>'[2]Invoeren'!CQ114</f>
        <v>0</v>
      </c>
    </row>
    <row r="121" spans="1:15" ht="12.75">
      <c r="A121" s="325">
        <f>'[2]Invoeren'!B115</f>
        <v>1</v>
      </c>
      <c r="B121" s="326">
        <f>'[2]Invoeren'!A114</f>
        <v>108</v>
      </c>
      <c r="C121" s="46">
        <v>199202118</v>
      </c>
      <c r="D121" s="331" t="s">
        <v>342</v>
      </c>
      <c r="E121" s="318" t="s">
        <v>246</v>
      </c>
      <c r="F121" s="319"/>
      <c r="G121" s="319" t="s">
        <v>230</v>
      </c>
      <c r="H121" s="327">
        <f>'[2]Invoeren'!L107</f>
        <v>0</v>
      </c>
      <c r="I121" s="328">
        <f>'[2]Invoeren'!M114</f>
        <v>0</v>
      </c>
      <c r="J121" s="329">
        <f>'[2]Invoeren'!N114</f>
        <v>0</v>
      </c>
      <c r="K121" s="330">
        <f>'[2]Invoeren'!$C114</f>
        <v>0</v>
      </c>
      <c r="L121" s="324">
        <f>'[2]Invoeren'!AI115</f>
        <v>0</v>
      </c>
      <c r="M121" s="324">
        <f>'[2]Invoeren'!BC115</f>
        <v>0</v>
      </c>
      <c r="N121" s="324">
        <f>'[2]Invoeren'!BW115</f>
        <v>0</v>
      </c>
      <c r="O121" s="324">
        <f>'[2]Invoeren'!CQ115</f>
        <v>0</v>
      </c>
    </row>
    <row r="122" spans="1:15" ht="12.75">
      <c r="A122" s="325">
        <f>'[2]Invoeren'!B116</f>
        <v>1</v>
      </c>
      <c r="B122" s="326">
        <f>'[2]Invoeren'!A115</f>
        <v>109</v>
      </c>
      <c r="C122" s="337">
        <v>200104324</v>
      </c>
      <c r="D122" s="338" t="s">
        <v>343</v>
      </c>
      <c r="E122" s="318" t="s">
        <v>254</v>
      </c>
      <c r="F122" s="319"/>
      <c r="G122" s="339" t="s">
        <v>230</v>
      </c>
      <c r="H122" s="327">
        <f>'[2]Invoeren'!L108</f>
        <v>0</v>
      </c>
      <c r="I122" s="328">
        <f>'[2]Invoeren'!M115</f>
        <v>0</v>
      </c>
      <c r="J122" s="329">
        <f>'[2]Invoeren'!N115</f>
        <v>0</v>
      </c>
      <c r="K122" s="330">
        <f>'[2]Invoeren'!$C115</f>
        <v>0</v>
      </c>
      <c r="L122" s="324">
        <f>'[2]Invoeren'!AI116</f>
        <v>0</v>
      </c>
      <c r="M122" s="324">
        <f>'[2]Invoeren'!BC116</f>
        <v>0</v>
      </c>
      <c r="N122" s="324">
        <f>'[2]Invoeren'!BW116</f>
        <v>0</v>
      </c>
      <c r="O122" s="324">
        <f>'[2]Invoeren'!CQ116</f>
        <v>0</v>
      </c>
    </row>
    <row r="123" spans="1:15" ht="12.75">
      <c r="A123" s="325">
        <f>'[2]Invoeren'!B117</f>
        <v>1</v>
      </c>
      <c r="B123" s="326">
        <f>'[2]Invoeren'!A116</f>
        <v>110</v>
      </c>
      <c r="C123" s="46">
        <v>199701940</v>
      </c>
      <c r="D123" s="331" t="s">
        <v>344</v>
      </c>
      <c r="E123" s="318" t="s">
        <v>254</v>
      </c>
      <c r="F123" s="319"/>
      <c r="G123" s="319" t="s">
        <v>230</v>
      </c>
      <c r="H123" s="327">
        <f>'[2]Invoeren'!L109</f>
        <v>0</v>
      </c>
      <c r="I123" s="328">
        <f>'[2]Invoeren'!M116</f>
        <v>0</v>
      </c>
      <c r="J123" s="329">
        <f>'[2]Invoeren'!N116</f>
        <v>0</v>
      </c>
      <c r="K123" s="330">
        <f>'[2]Invoeren'!$C116</f>
        <v>0</v>
      </c>
      <c r="L123" s="324">
        <f>'[2]Invoeren'!AI117</f>
        <v>0</v>
      </c>
      <c r="M123" s="324">
        <f>'[2]Invoeren'!BC117</f>
        <v>0</v>
      </c>
      <c r="N123" s="324">
        <f>'[2]Invoeren'!BW117</f>
        <v>0</v>
      </c>
      <c r="O123" s="324">
        <f>'[2]Invoeren'!CQ117</f>
        <v>0</v>
      </c>
    </row>
    <row r="124" spans="1:15" ht="12.75">
      <c r="A124" s="325">
        <f>'[2]Invoeren'!B118</f>
        <v>1</v>
      </c>
      <c r="B124" s="326">
        <f>'[2]Invoeren'!A117</f>
        <v>111</v>
      </c>
      <c r="C124" s="317">
        <v>199806340</v>
      </c>
      <c r="D124" t="s">
        <v>345</v>
      </c>
      <c r="E124" s="318" t="s">
        <v>254</v>
      </c>
      <c r="F124" s="319"/>
      <c r="G124" s="319" t="s">
        <v>230</v>
      </c>
      <c r="H124" s="327">
        <f>'[2]Invoeren'!L110</f>
        <v>0</v>
      </c>
      <c r="I124" s="328">
        <f>'[2]Invoeren'!M117</f>
        <v>0</v>
      </c>
      <c r="J124" s="329">
        <f>'[2]Invoeren'!N117</f>
        <v>0</v>
      </c>
      <c r="K124" s="330">
        <f>'[2]Invoeren'!$C117</f>
        <v>0</v>
      </c>
      <c r="L124" s="324">
        <f>'[2]Invoeren'!AI118</f>
        <v>0</v>
      </c>
      <c r="M124" s="324">
        <f>'[2]Invoeren'!BC118</f>
        <v>0</v>
      </c>
      <c r="N124" s="324">
        <f>'[2]Invoeren'!BW118</f>
        <v>0</v>
      </c>
      <c r="O124" s="324">
        <f>'[2]Invoeren'!CQ118</f>
        <v>0</v>
      </c>
    </row>
    <row r="125" spans="1:15" ht="12.75">
      <c r="A125" s="325">
        <f>'[2]Invoeren'!B119</f>
        <v>1</v>
      </c>
      <c r="B125" s="326">
        <f>'[2]Invoeren'!A118</f>
        <v>112</v>
      </c>
      <c r="C125" s="317">
        <v>200004958</v>
      </c>
      <c r="D125" s="336" t="s">
        <v>346</v>
      </c>
      <c r="E125" s="11" t="s">
        <v>264</v>
      </c>
      <c r="F125" s="319"/>
      <c r="G125" s="22"/>
      <c r="H125" s="327">
        <f>'[2]Invoeren'!L111</f>
        <v>0</v>
      </c>
      <c r="I125" s="328">
        <f>'[2]Invoeren'!M118</f>
        <v>0</v>
      </c>
      <c r="J125" s="329">
        <f>'[2]Invoeren'!N118</f>
        <v>0</v>
      </c>
      <c r="K125" s="330">
        <f>'[2]Invoeren'!$C118</f>
        <v>0</v>
      </c>
      <c r="L125" s="324">
        <f>'[2]Invoeren'!AI119</f>
        <v>0</v>
      </c>
      <c r="M125" s="324">
        <f>'[2]Invoeren'!BC119</f>
        <v>0</v>
      </c>
      <c r="N125" s="324">
        <f>'[2]Invoeren'!BW119</f>
        <v>0</v>
      </c>
      <c r="O125" s="324">
        <f>'[2]Invoeren'!CQ119</f>
        <v>0</v>
      </c>
    </row>
    <row r="126" spans="1:15" ht="12.75">
      <c r="A126" s="325">
        <f>'[2]Invoeren'!B120</f>
        <v>1</v>
      </c>
      <c r="B126" s="326">
        <f>'[2]Invoeren'!A119</f>
        <v>113</v>
      </c>
      <c r="C126" s="337">
        <v>199606526</v>
      </c>
      <c r="D126" s="338" t="s">
        <v>347</v>
      </c>
      <c r="E126" s="318" t="s">
        <v>254</v>
      </c>
      <c r="F126" s="319"/>
      <c r="G126" s="339" t="s">
        <v>230</v>
      </c>
      <c r="H126" s="327">
        <f>'[2]Invoeren'!L112</f>
        <v>0</v>
      </c>
      <c r="I126" s="328">
        <f>'[2]Invoeren'!M119</f>
        <v>0</v>
      </c>
      <c r="J126" s="329">
        <f>'[2]Invoeren'!N119</f>
        <v>0</v>
      </c>
      <c r="K126" s="330">
        <f>'[2]Invoeren'!$C119</f>
        <v>0</v>
      </c>
      <c r="L126" s="324">
        <f>'[2]Invoeren'!AI120</f>
        <v>0</v>
      </c>
      <c r="M126" s="324">
        <f>'[2]Invoeren'!BC120</f>
        <v>0</v>
      </c>
      <c r="N126" s="324">
        <f>'[2]Invoeren'!BW120</f>
        <v>0</v>
      </c>
      <c r="O126" s="324">
        <f>'[2]Invoeren'!CQ120</f>
        <v>0</v>
      </c>
    </row>
    <row r="127" spans="1:15" ht="12.75">
      <c r="A127" s="325">
        <f>'[2]Invoeren'!B121</f>
        <v>1</v>
      </c>
      <c r="B127" s="326">
        <f>'[2]Invoeren'!A120</f>
        <v>114</v>
      </c>
      <c r="C127" s="46">
        <v>199902450</v>
      </c>
      <c r="D127" s="331" t="s">
        <v>348</v>
      </c>
      <c r="E127" s="318" t="s">
        <v>254</v>
      </c>
      <c r="F127" s="319"/>
      <c r="G127" s="319" t="s">
        <v>230</v>
      </c>
      <c r="H127" s="327">
        <f>'[2]Invoeren'!L113</f>
        <v>0</v>
      </c>
      <c r="I127" s="328">
        <f>'[2]Invoeren'!M120</f>
        <v>0</v>
      </c>
      <c r="J127" s="329">
        <f>'[2]Invoeren'!N120</f>
        <v>0</v>
      </c>
      <c r="K127" s="330">
        <f>'[2]Invoeren'!$C120</f>
        <v>0</v>
      </c>
      <c r="L127" s="324">
        <f>'[2]Invoeren'!AI121</f>
        <v>0</v>
      </c>
      <c r="M127" s="324">
        <f>'[2]Invoeren'!BC121</f>
        <v>0</v>
      </c>
      <c r="N127" s="324">
        <f>'[2]Invoeren'!BW121</f>
        <v>0</v>
      </c>
      <c r="O127" s="324">
        <f>'[2]Invoeren'!CQ121</f>
        <v>0</v>
      </c>
    </row>
    <row r="128" spans="1:15" ht="12.75">
      <c r="A128" s="325">
        <f>'[2]Invoeren'!B122</f>
        <v>1</v>
      </c>
      <c r="B128" s="326">
        <f>'[2]Invoeren'!A121</f>
        <v>115</v>
      </c>
      <c r="C128" s="317">
        <v>200006102</v>
      </c>
      <c r="D128" t="s">
        <v>349</v>
      </c>
      <c r="E128" s="318" t="s">
        <v>254</v>
      </c>
      <c r="F128" s="319"/>
      <c r="G128" s="319" t="s">
        <v>230</v>
      </c>
      <c r="H128" s="327">
        <f>'[2]Invoeren'!L114</f>
        <v>0</v>
      </c>
      <c r="I128" s="328">
        <f>'[2]Invoeren'!M121</f>
        <v>0</v>
      </c>
      <c r="J128" s="329">
        <f>'[2]Invoeren'!N121</f>
        <v>0</v>
      </c>
      <c r="K128" s="330">
        <f>'[2]Invoeren'!$C121</f>
        <v>0</v>
      </c>
      <c r="L128" s="324">
        <f>'[2]Invoeren'!AI122</f>
        <v>0</v>
      </c>
      <c r="M128" s="324">
        <f>'[2]Invoeren'!BC122</f>
        <v>0</v>
      </c>
      <c r="N128" s="324">
        <f>'[2]Invoeren'!BW122</f>
        <v>0</v>
      </c>
      <c r="O128" s="324">
        <f>'[2]Invoeren'!CQ122</f>
        <v>0</v>
      </c>
    </row>
    <row r="129" spans="1:15" ht="12.75">
      <c r="A129" s="325">
        <f>'[2]Invoeren'!B123</f>
        <v>1</v>
      </c>
      <c r="B129" s="326">
        <f>'[2]Invoeren'!A122</f>
        <v>116</v>
      </c>
      <c r="C129" s="317">
        <v>200203038</v>
      </c>
      <c r="D129" t="s">
        <v>350</v>
      </c>
      <c r="E129" s="318" t="s">
        <v>251</v>
      </c>
      <c r="F129" s="319"/>
      <c r="G129" s="319" t="s">
        <v>230</v>
      </c>
      <c r="H129" s="327">
        <f>'[2]Invoeren'!L115</f>
        <v>0</v>
      </c>
      <c r="I129" s="328">
        <f>'[2]Invoeren'!M122</f>
        <v>0</v>
      </c>
      <c r="J129" s="329">
        <f>'[2]Invoeren'!N122</f>
        <v>0</v>
      </c>
      <c r="K129" s="330">
        <f>'[2]Invoeren'!$C122</f>
        <v>0</v>
      </c>
      <c r="L129" s="324">
        <f>'[2]Invoeren'!AI123</f>
        <v>0</v>
      </c>
      <c r="M129" s="324">
        <f>'[2]Invoeren'!BC123</f>
        <v>0</v>
      </c>
      <c r="N129" s="324">
        <f>'[2]Invoeren'!BW123</f>
        <v>0</v>
      </c>
      <c r="O129" s="324">
        <f>'[2]Invoeren'!CQ123</f>
        <v>0</v>
      </c>
    </row>
    <row r="130" spans="1:15" ht="12.75">
      <c r="A130" s="325">
        <f>'[2]Invoeren'!B124</f>
        <v>1</v>
      </c>
      <c r="B130" s="326">
        <f>'[2]Invoeren'!A123</f>
        <v>117</v>
      </c>
      <c r="C130" s="317">
        <v>200500162</v>
      </c>
      <c r="D130" t="s">
        <v>351</v>
      </c>
      <c r="E130" s="318" t="s">
        <v>235</v>
      </c>
      <c r="F130" s="319"/>
      <c r="G130" s="319" t="s">
        <v>230</v>
      </c>
      <c r="H130" s="327">
        <f>'[2]Invoeren'!L116</f>
        <v>0</v>
      </c>
      <c r="I130" s="328">
        <f>'[2]Invoeren'!M123</f>
        <v>0</v>
      </c>
      <c r="J130" s="329">
        <f>'[2]Invoeren'!N123</f>
        <v>0</v>
      </c>
      <c r="K130" s="330">
        <f>'[2]Invoeren'!$C123</f>
        <v>0</v>
      </c>
      <c r="L130" s="324">
        <f>'[2]Invoeren'!AI124</f>
        <v>0</v>
      </c>
      <c r="M130" s="324">
        <f>'[2]Invoeren'!BC124</f>
        <v>0</v>
      </c>
      <c r="N130" s="324">
        <f>'[2]Invoeren'!BW124</f>
        <v>0</v>
      </c>
      <c r="O130" s="324">
        <f>'[2]Invoeren'!CQ124</f>
        <v>0</v>
      </c>
    </row>
    <row r="131" spans="1:15" ht="12.75">
      <c r="A131" s="325">
        <f>'[2]Invoeren'!B125</f>
        <v>1</v>
      </c>
      <c r="B131" s="326">
        <f>'[2]Invoeren'!A124</f>
        <v>118</v>
      </c>
      <c r="C131" s="317"/>
      <c r="D131" t="s">
        <v>352</v>
      </c>
      <c r="E131" s="318" t="s">
        <v>254</v>
      </c>
      <c r="F131" s="319"/>
      <c r="G131" s="319" t="s">
        <v>230</v>
      </c>
      <c r="H131" s="327">
        <f>'[2]Invoeren'!L118</f>
        <v>0</v>
      </c>
      <c r="I131" s="328">
        <f>'[2]Invoeren'!M124</f>
        <v>0</v>
      </c>
      <c r="J131" s="329">
        <f>'[2]Invoeren'!N124</f>
        <v>0</v>
      </c>
      <c r="K131" s="330">
        <f>'[2]Invoeren'!$C124</f>
        <v>0</v>
      </c>
      <c r="L131" s="324">
        <f>'[2]Invoeren'!AI125</f>
        <v>0</v>
      </c>
      <c r="M131" s="324">
        <f>'[2]Invoeren'!BC125</f>
        <v>0</v>
      </c>
      <c r="N131" s="324">
        <f>'[2]Invoeren'!BW125</f>
        <v>0</v>
      </c>
      <c r="O131" s="324">
        <f>'[2]Invoeren'!CQ125</f>
        <v>0</v>
      </c>
    </row>
    <row r="132" spans="1:15" ht="12.75">
      <c r="A132" s="325">
        <f>'[2]Invoeren'!B126</f>
        <v>1</v>
      </c>
      <c r="B132" s="326">
        <f>'[2]Invoeren'!A125</f>
        <v>119</v>
      </c>
      <c r="C132" s="46">
        <v>199304214</v>
      </c>
      <c r="D132" s="331" t="s">
        <v>353</v>
      </c>
      <c r="E132" s="318" t="s">
        <v>239</v>
      </c>
      <c r="F132" s="319"/>
      <c r="G132" s="319" t="s">
        <v>230</v>
      </c>
      <c r="H132" s="327">
        <f>'[2]Invoeren'!L119</f>
        <v>0</v>
      </c>
      <c r="I132" s="328">
        <f>'[2]Invoeren'!M125</f>
        <v>0</v>
      </c>
      <c r="J132" s="329">
        <f>'[2]Invoeren'!N125</f>
        <v>0</v>
      </c>
      <c r="K132" s="330">
        <f>'[2]Invoeren'!$C125</f>
        <v>0</v>
      </c>
      <c r="L132" s="324">
        <f>'[2]Invoeren'!AI126</f>
        <v>0</v>
      </c>
      <c r="M132" s="324">
        <f>'[2]Invoeren'!BC126</f>
        <v>0</v>
      </c>
      <c r="N132" s="324">
        <f>'[2]Invoeren'!BW126</f>
        <v>0</v>
      </c>
      <c r="O132" s="324">
        <f>'[2]Invoeren'!CQ126</f>
        <v>0</v>
      </c>
    </row>
    <row r="133" spans="1:15" ht="12.75">
      <c r="A133" s="325">
        <f>'[2]Invoeren'!B127</f>
        <v>1</v>
      </c>
      <c r="B133" s="326">
        <f>'[2]Invoeren'!A126</f>
        <v>120</v>
      </c>
      <c r="C133" s="46">
        <v>199805896</v>
      </c>
      <c r="D133" s="331" t="s">
        <v>354</v>
      </c>
      <c r="E133" s="318" t="s">
        <v>251</v>
      </c>
      <c r="F133" s="319"/>
      <c r="G133" s="319" t="s">
        <v>230</v>
      </c>
      <c r="H133" s="327">
        <f>'[2]Invoeren'!L120</f>
        <v>0</v>
      </c>
      <c r="I133" s="328">
        <f>'[2]Invoeren'!M126</f>
        <v>0</v>
      </c>
      <c r="J133" s="329">
        <f>'[2]Invoeren'!N126</f>
        <v>0</v>
      </c>
      <c r="K133" s="330">
        <f>'[2]Invoeren'!$C126</f>
        <v>0</v>
      </c>
      <c r="L133" s="324">
        <f>'[2]Invoeren'!AI127</f>
        <v>0</v>
      </c>
      <c r="M133" s="324">
        <f>'[2]Invoeren'!BC127</f>
        <v>0</v>
      </c>
      <c r="N133" s="324">
        <f>'[2]Invoeren'!BW127</f>
        <v>0</v>
      </c>
      <c r="O133" s="324">
        <f>'[2]Invoeren'!CQ127</f>
        <v>0</v>
      </c>
    </row>
    <row r="134" spans="1:15" ht="12.75">
      <c r="A134" s="325">
        <f>'[2]Invoeren'!B128</f>
        <v>1</v>
      </c>
      <c r="B134" s="326">
        <f>'[2]Invoeren'!A127</f>
        <v>121</v>
      </c>
      <c r="C134" s="317">
        <v>19990</v>
      </c>
      <c r="D134" t="s">
        <v>355</v>
      </c>
      <c r="E134" s="318" t="s">
        <v>235</v>
      </c>
      <c r="F134" s="319"/>
      <c r="G134" s="319" t="s">
        <v>230</v>
      </c>
      <c r="H134" s="327">
        <f>'[2]Invoeren'!L121</f>
        <v>0</v>
      </c>
      <c r="I134" s="328">
        <f>'[2]Invoeren'!M127</f>
        <v>0</v>
      </c>
      <c r="J134" s="329">
        <f>'[2]Invoeren'!N127</f>
        <v>0</v>
      </c>
      <c r="K134" s="330">
        <f>'[2]Invoeren'!$C127</f>
        <v>0</v>
      </c>
      <c r="L134" s="324">
        <f>'[2]Invoeren'!AI128</f>
        <v>0</v>
      </c>
      <c r="M134" s="324">
        <f>'[2]Invoeren'!BC128</f>
        <v>0</v>
      </c>
      <c r="N134" s="324">
        <f>'[2]Invoeren'!BW128</f>
        <v>0</v>
      </c>
      <c r="O134" s="324">
        <f>'[2]Invoeren'!CQ128</f>
        <v>0</v>
      </c>
    </row>
    <row r="135" spans="1:15" ht="12.75">
      <c r="A135" s="325">
        <f>'[2]Invoeren'!B129</f>
        <v>1</v>
      </c>
      <c r="B135" s="326">
        <f>'[2]Invoeren'!A128</f>
        <v>122</v>
      </c>
      <c r="C135" s="317">
        <v>200004932</v>
      </c>
      <c r="D135" s="336" t="s">
        <v>356</v>
      </c>
      <c r="E135" s="11" t="s">
        <v>264</v>
      </c>
      <c r="F135" s="319"/>
      <c r="G135" s="22"/>
      <c r="H135" s="327">
        <f>'[2]Invoeren'!L123</f>
        <v>0</v>
      </c>
      <c r="I135" s="328">
        <f>'[2]Invoeren'!M128</f>
        <v>0</v>
      </c>
      <c r="J135" s="329">
        <f>'[2]Invoeren'!N128</f>
        <v>0</v>
      </c>
      <c r="K135" s="330">
        <f>'[2]Invoeren'!$C128</f>
        <v>0</v>
      </c>
      <c r="L135" s="324">
        <f>'[2]Invoeren'!AI129</f>
        <v>0</v>
      </c>
      <c r="M135" s="324">
        <f>'[2]Invoeren'!BC129</f>
        <v>0</v>
      </c>
      <c r="N135" s="324">
        <f>'[2]Invoeren'!BW129</f>
        <v>0</v>
      </c>
      <c r="O135" s="324">
        <f>'[2]Invoeren'!CQ129</f>
        <v>0</v>
      </c>
    </row>
    <row r="136" spans="1:15" ht="12.75">
      <c r="A136" s="325">
        <f>'[2]Invoeren'!B130</f>
        <v>1</v>
      </c>
      <c r="B136" s="326">
        <f>'[2]Invoeren'!A129</f>
        <v>123</v>
      </c>
      <c r="C136" s="46">
        <v>199604934</v>
      </c>
      <c r="D136" s="331" t="s">
        <v>357</v>
      </c>
      <c r="E136" s="318" t="s">
        <v>246</v>
      </c>
      <c r="F136" s="319"/>
      <c r="G136" s="319" t="s">
        <v>230</v>
      </c>
      <c r="H136" s="327">
        <f>'[2]Invoeren'!L125</f>
        <v>0</v>
      </c>
      <c r="I136" s="328">
        <f>'[2]Invoeren'!M129</f>
        <v>0</v>
      </c>
      <c r="J136" s="329">
        <f>'[2]Invoeren'!N129</f>
        <v>0</v>
      </c>
      <c r="K136" s="330">
        <f>'[2]Invoeren'!$C129</f>
        <v>0</v>
      </c>
      <c r="L136" s="324">
        <f>'[2]Invoeren'!AI130</f>
        <v>0</v>
      </c>
      <c r="M136" s="324">
        <f>'[2]Invoeren'!BC130</f>
        <v>0</v>
      </c>
      <c r="N136" s="324">
        <f>'[2]Invoeren'!BW130</f>
        <v>0</v>
      </c>
      <c r="O136" s="324">
        <f>'[2]Invoeren'!CQ130</f>
        <v>0</v>
      </c>
    </row>
    <row r="137" spans="1:15" ht="12.75">
      <c r="A137" s="325">
        <f>'[2]Invoeren'!B131</f>
        <v>1</v>
      </c>
      <c r="B137" s="326">
        <f>'[2]Invoeren'!A130</f>
        <v>124</v>
      </c>
      <c r="C137" s="82">
        <v>199901224</v>
      </c>
      <c r="D137" s="331" t="s">
        <v>358</v>
      </c>
      <c r="E137" s="318" t="s">
        <v>251</v>
      </c>
      <c r="F137" s="319"/>
      <c r="G137" s="319" t="s">
        <v>230</v>
      </c>
      <c r="H137" s="327">
        <f>'[2]Invoeren'!L126</f>
        <v>0</v>
      </c>
      <c r="I137" s="328">
        <f>'[2]Invoeren'!M130</f>
        <v>0</v>
      </c>
      <c r="J137" s="329">
        <f>'[2]Invoeren'!N130</f>
        <v>0</v>
      </c>
      <c r="K137" s="330">
        <f>'[2]Invoeren'!$C130</f>
        <v>0</v>
      </c>
      <c r="L137" s="324">
        <f>'[2]Invoeren'!AI131</f>
        <v>0</v>
      </c>
      <c r="M137" s="324">
        <f>'[2]Invoeren'!BC131</f>
        <v>0</v>
      </c>
      <c r="N137" s="324">
        <f>'[2]Invoeren'!BW131</f>
        <v>0</v>
      </c>
      <c r="O137" s="324">
        <f>'[2]Invoeren'!CQ131</f>
        <v>0</v>
      </c>
    </row>
    <row r="138" spans="1:15" ht="12.75">
      <c r="A138" s="325">
        <f>'[2]Invoeren'!B132</f>
        <v>1</v>
      </c>
      <c r="B138" s="326">
        <f>'[2]Invoeren'!A131</f>
        <v>125</v>
      </c>
      <c r="C138" s="46">
        <v>199803682</v>
      </c>
      <c r="D138" s="332" t="s">
        <v>359</v>
      </c>
      <c r="E138" s="318" t="s">
        <v>235</v>
      </c>
      <c r="F138" s="319"/>
      <c r="G138" s="319" t="s">
        <v>230</v>
      </c>
      <c r="H138" s="327">
        <f>'[2]Invoeren'!L127</f>
        <v>0</v>
      </c>
      <c r="I138" s="328">
        <f>'[2]Invoeren'!M131</f>
        <v>0</v>
      </c>
      <c r="J138" s="329">
        <f>'[2]Invoeren'!N131</f>
        <v>0</v>
      </c>
      <c r="K138" s="330">
        <f>'[2]Invoeren'!$C131</f>
        <v>0</v>
      </c>
      <c r="L138" s="324">
        <f>'[2]Invoeren'!AI132</f>
        <v>0</v>
      </c>
      <c r="M138" s="324">
        <f>'[2]Invoeren'!BC132</f>
        <v>0</v>
      </c>
      <c r="N138" s="324">
        <f>'[2]Invoeren'!BW132</f>
        <v>0</v>
      </c>
      <c r="O138" s="324">
        <f>'[2]Invoeren'!CQ132</f>
        <v>0</v>
      </c>
    </row>
    <row r="139" spans="1:15" ht="12.75">
      <c r="A139" s="325">
        <f>'[2]Invoeren'!B133</f>
        <v>1</v>
      </c>
      <c r="B139" s="326">
        <f>'[2]Invoeren'!A132</f>
        <v>126</v>
      </c>
      <c r="C139" s="46">
        <v>199603788</v>
      </c>
      <c r="D139" s="331" t="s">
        <v>360</v>
      </c>
      <c r="E139" s="318" t="s">
        <v>251</v>
      </c>
      <c r="F139" s="319"/>
      <c r="G139" s="319" t="s">
        <v>230</v>
      </c>
      <c r="H139" s="327">
        <f>'[2]Invoeren'!L129</f>
        <v>0</v>
      </c>
      <c r="I139" s="328">
        <f>'[2]Invoeren'!M132</f>
        <v>0</v>
      </c>
      <c r="J139" s="329">
        <f>'[2]Invoeren'!N132</f>
        <v>0</v>
      </c>
      <c r="K139" s="330">
        <f>'[2]Invoeren'!$C132</f>
        <v>0</v>
      </c>
      <c r="L139" s="324">
        <f>'[2]Invoeren'!AI133</f>
        <v>0</v>
      </c>
      <c r="M139" s="324">
        <f>'[2]Invoeren'!BC133</f>
        <v>0</v>
      </c>
      <c r="N139" s="324">
        <f>'[2]Invoeren'!BW133</f>
        <v>0</v>
      </c>
      <c r="O139" s="324">
        <f>'[2]Invoeren'!CQ133</f>
        <v>0</v>
      </c>
    </row>
    <row r="140" spans="1:15" ht="12.75">
      <c r="A140" s="325">
        <f>'[2]Invoeren'!B134</f>
        <v>1</v>
      </c>
      <c r="B140" s="326">
        <f>'[2]Invoeren'!A133</f>
        <v>127</v>
      </c>
      <c r="C140" s="46">
        <v>199700634</v>
      </c>
      <c r="D140" s="332" t="s">
        <v>361</v>
      </c>
      <c r="E140" s="318" t="s">
        <v>235</v>
      </c>
      <c r="F140" s="319"/>
      <c r="G140" s="319" t="s">
        <v>230</v>
      </c>
      <c r="H140" s="327">
        <f>'[2]Invoeren'!L130</f>
        <v>0</v>
      </c>
      <c r="I140" s="328">
        <f>'[2]Invoeren'!M133</f>
        <v>0</v>
      </c>
      <c r="J140" s="329">
        <f>'[2]Invoeren'!N133</f>
        <v>0</v>
      </c>
      <c r="K140" s="330">
        <f>'[2]Invoeren'!$C133</f>
        <v>0</v>
      </c>
      <c r="L140" s="324">
        <f>'[2]Invoeren'!AI134</f>
        <v>0</v>
      </c>
      <c r="M140" s="324">
        <f>'[2]Invoeren'!BC134</f>
        <v>0</v>
      </c>
      <c r="N140" s="324">
        <f>'[2]Invoeren'!BW134</f>
        <v>0</v>
      </c>
      <c r="O140" s="324">
        <f>'[2]Invoeren'!CQ134</f>
        <v>0</v>
      </c>
    </row>
    <row r="141" spans="1:15" ht="12.75">
      <c r="A141" s="325">
        <f>'[2]Invoeren'!B135</f>
        <v>1</v>
      </c>
      <c r="B141" s="326">
        <f>'[2]Invoeren'!A134</f>
        <v>128</v>
      </c>
      <c r="C141" s="46">
        <v>199103930</v>
      </c>
      <c r="D141" s="331" t="s">
        <v>362</v>
      </c>
      <c r="E141" s="332" t="s">
        <v>229</v>
      </c>
      <c r="F141" s="319"/>
      <c r="G141" s="319" t="s">
        <v>230</v>
      </c>
      <c r="H141" s="327">
        <f>'[2]Invoeren'!L131</f>
        <v>0</v>
      </c>
      <c r="I141" s="328">
        <f>'[2]Invoeren'!M134</f>
        <v>0</v>
      </c>
      <c r="J141" s="329">
        <f>'[2]Invoeren'!N134</f>
        <v>0</v>
      </c>
      <c r="K141" s="330">
        <f>'[2]Invoeren'!$C134</f>
        <v>0</v>
      </c>
      <c r="L141" s="324">
        <f>'[2]Invoeren'!AI135</f>
        <v>0</v>
      </c>
      <c r="M141" s="324">
        <f>'[2]Invoeren'!BC135</f>
        <v>0</v>
      </c>
      <c r="N141" s="324">
        <f>'[2]Invoeren'!BW135</f>
        <v>0</v>
      </c>
      <c r="O141" s="324">
        <f>'[2]Invoeren'!CQ135</f>
        <v>0</v>
      </c>
    </row>
    <row r="142" spans="1:15" ht="12.75">
      <c r="A142" s="325">
        <f>'[2]Invoeren'!B136</f>
        <v>1</v>
      </c>
      <c r="B142" s="326">
        <f>'[2]Invoeren'!A135</f>
        <v>129</v>
      </c>
      <c r="C142" s="317">
        <v>200301706</v>
      </c>
      <c r="D142" t="s">
        <v>363</v>
      </c>
      <c r="E142" s="318" t="s">
        <v>251</v>
      </c>
      <c r="F142" s="319"/>
      <c r="G142" s="319" t="s">
        <v>230</v>
      </c>
      <c r="H142" s="327">
        <f>'[2]Invoeren'!L132</f>
        <v>0</v>
      </c>
      <c r="I142" s="328">
        <f>'[2]Invoeren'!M135</f>
        <v>0</v>
      </c>
      <c r="J142" s="329">
        <f>'[2]Invoeren'!N135</f>
        <v>0</v>
      </c>
      <c r="K142" s="330">
        <f>'[2]Invoeren'!$C135</f>
        <v>0</v>
      </c>
      <c r="L142" s="324">
        <f>'[2]Invoeren'!AI136</f>
        <v>0</v>
      </c>
      <c r="M142" s="324">
        <f>'[2]Invoeren'!BC136</f>
        <v>0</v>
      </c>
      <c r="N142" s="324">
        <f>'[2]Invoeren'!BW136</f>
        <v>0</v>
      </c>
      <c r="O142" s="324">
        <f>'[2]Invoeren'!CQ136</f>
        <v>0</v>
      </c>
    </row>
    <row r="143" spans="1:15" ht="12.75">
      <c r="A143" s="325">
        <f>'[2]Invoeren'!B137</f>
        <v>1</v>
      </c>
      <c r="B143" s="326">
        <f>'[2]Invoeren'!A136</f>
        <v>130</v>
      </c>
      <c r="C143" s="82">
        <v>200002630</v>
      </c>
      <c r="D143" s="331" t="s">
        <v>364</v>
      </c>
      <c r="E143" s="318" t="s">
        <v>251</v>
      </c>
      <c r="F143" s="319"/>
      <c r="G143" s="319" t="s">
        <v>230</v>
      </c>
      <c r="H143" s="327">
        <f>'[2]Invoeren'!L133</f>
        <v>0</v>
      </c>
      <c r="I143" s="328">
        <f>'[2]Invoeren'!M136</f>
        <v>0</v>
      </c>
      <c r="J143" s="329">
        <f>'[2]Invoeren'!N136</f>
        <v>0</v>
      </c>
      <c r="K143" s="330">
        <f>'[2]Invoeren'!$C136</f>
        <v>0</v>
      </c>
      <c r="L143" s="324">
        <f>'[2]Invoeren'!AI137</f>
        <v>0</v>
      </c>
      <c r="M143" s="324">
        <f>'[2]Invoeren'!BC137</f>
        <v>0</v>
      </c>
      <c r="N143" s="324">
        <f>'[2]Invoeren'!BW137</f>
        <v>0</v>
      </c>
      <c r="O143" s="324">
        <f>'[2]Invoeren'!CQ137</f>
        <v>0</v>
      </c>
    </row>
    <row r="144" spans="1:15" ht="12.75">
      <c r="A144" s="325">
        <f>'[2]Invoeren'!B138</f>
        <v>1</v>
      </c>
      <c r="B144" s="326">
        <f>'[2]Invoeren'!A137</f>
        <v>131</v>
      </c>
      <c r="C144" s="46">
        <v>200002638</v>
      </c>
      <c r="D144" s="331" t="s">
        <v>365</v>
      </c>
      <c r="E144" s="332" t="s">
        <v>239</v>
      </c>
      <c r="F144" s="319"/>
      <c r="G144" s="319" t="s">
        <v>230</v>
      </c>
      <c r="H144" s="327">
        <f>'[2]Invoeren'!L134</f>
        <v>0</v>
      </c>
      <c r="I144" s="328">
        <f>'[2]Invoeren'!M137</f>
        <v>0</v>
      </c>
      <c r="J144" s="329">
        <f>'[2]Invoeren'!N137</f>
        <v>0</v>
      </c>
      <c r="K144" s="330">
        <f>'[2]Invoeren'!$C137</f>
        <v>0</v>
      </c>
      <c r="L144" s="324">
        <f>'[2]Invoeren'!AI138</f>
        <v>0</v>
      </c>
      <c r="M144" s="324">
        <f>'[2]Invoeren'!BC138</f>
        <v>0</v>
      </c>
      <c r="N144" s="324">
        <f>'[2]Invoeren'!BW138</f>
        <v>0</v>
      </c>
      <c r="O144" s="324">
        <f>'[2]Invoeren'!CQ138</f>
        <v>0</v>
      </c>
    </row>
    <row r="145" spans="1:15" ht="12.75">
      <c r="A145" s="325">
        <f>'[2]Invoeren'!B139</f>
        <v>1</v>
      </c>
      <c r="B145" s="326">
        <f>'[2]Invoeren'!A138</f>
        <v>132</v>
      </c>
      <c r="C145" s="317"/>
      <c r="D145" t="s">
        <v>366</v>
      </c>
      <c r="E145" s="318" t="s">
        <v>235</v>
      </c>
      <c r="F145" s="319"/>
      <c r="G145" s="319" t="s">
        <v>230</v>
      </c>
      <c r="H145" s="327">
        <f>'[2]Invoeren'!L135</f>
        <v>0</v>
      </c>
      <c r="I145" s="328">
        <f>'[2]Invoeren'!M138</f>
        <v>0</v>
      </c>
      <c r="J145" s="329">
        <f>'[2]Invoeren'!N138</f>
        <v>0</v>
      </c>
      <c r="K145" s="330">
        <f>'[2]Invoeren'!$C138</f>
        <v>0</v>
      </c>
      <c r="L145" s="324">
        <f>'[2]Invoeren'!AI139</f>
        <v>0</v>
      </c>
      <c r="M145" s="324">
        <f>'[2]Invoeren'!BC139</f>
        <v>0</v>
      </c>
      <c r="N145" s="324">
        <f>'[2]Invoeren'!BW139</f>
        <v>0</v>
      </c>
      <c r="O145" s="324">
        <f>'[2]Invoeren'!CQ139</f>
        <v>0</v>
      </c>
    </row>
    <row r="146" spans="1:15" ht="12.75">
      <c r="A146" s="325">
        <f>'[2]Invoeren'!B140</f>
        <v>1</v>
      </c>
      <c r="B146" s="326">
        <f>'[2]Invoeren'!A139</f>
        <v>133</v>
      </c>
      <c r="C146" s="46">
        <v>199701966</v>
      </c>
      <c r="D146" s="331" t="s">
        <v>367</v>
      </c>
      <c r="E146" s="318" t="s">
        <v>239</v>
      </c>
      <c r="F146" s="319"/>
      <c r="G146" s="319" t="s">
        <v>230</v>
      </c>
      <c r="H146" s="327">
        <f>'[2]Invoeren'!L136</f>
        <v>0</v>
      </c>
      <c r="I146" s="328">
        <f>'[2]Invoeren'!M139</f>
        <v>0</v>
      </c>
      <c r="J146" s="329">
        <f>'[2]Invoeren'!N139</f>
        <v>0</v>
      </c>
      <c r="K146" s="330">
        <f>'[2]Invoeren'!$C139</f>
        <v>0</v>
      </c>
      <c r="L146" s="324">
        <f>'[2]Invoeren'!AI140</f>
        <v>0</v>
      </c>
      <c r="M146" s="324">
        <f>'[2]Invoeren'!BC140</f>
        <v>0</v>
      </c>
      <c r="N146" s="324">
        <f>'[2]Invoeren'!BW140</f>
        <v>0</v>
      </c>
      <c r="O146" s="324">
        <f>'[2]Invoeren'!CQ140</f>
        <v>0</v>
      </c>
    </row>
    <row r="147" spans="1:15" ht="12.75">
      <c r="A147" s="325">
        <f>'[2]Invoeren'!B141</f>
        <v>1</v>
      </c>
      <c r="B147" s="326">
        <f>'[2]Invoeren'!A140</f>
        <v>134</v>
      </c>
      <c r="C147" s="317">
        <v>200103238</v>
      </c>
      <c r="D147" t="s">
        <v>368</v>
      </c>
      <c r="E147" s="318" t="s">
        <v>239</v>
      </c>
      <c r="F147" s="319"/>
      <c r="G147" s="319" t="s">
        <v>230</v>
      </c>
      <c r="H147" s="327">
        <f>'[2]Invoeren'!L138</f>
        <v>0</v>
      </c>
      <c r="I147" s="328">
        <f>'[2]Invoeren'!M140</f>
        <v>0</v>
      </c>
      <c r="J147" s="329">
        <f>'[2]Invoeren'!N140</f>
        <v>0</v>
      </c>
      <c r="K147" s="330">
        <f>'[2]Invoeren'!$C140</f>
        <v>0</v>
      </c>
      <c r="L147" s="324">
        <f>'[2]Invoeren'!AI141</f>
        <v>0</v>
      </c>
      <c r="M147" s="324">
        <f>'[2]Invoeren'!BC141</f>
        <v>0</v>
      </c>
      <c r="N147" s="324">
        <f>'[2]Invoeren'!BW141</f>
        <v>0</v>
      </c>
      <c r="O147" s="324">
        <f>'[2]Invoeren'!CQ141</f>
        <v>0</v>
      </c>
    </row>
    <row r="148" spans="1:15" ht="12.75">
      <c r="A148" s="325">
        <f>'[2]Invoeren'!B142</f>
        <v>1</v>
      </c>
      <c r="B148" s="326">
        <f>'[2]Invoeren'!A141</f>
        <v>135</v>
      </c>
      <c r="C148" s="46">
        <v>199504632</v>
      </c>
      <c r="D148" s="331" t="s">
        <v>369</v>
      </c>
      <c r="E148" s="318" t="s">
        <v>254</v>
      </c>
      <c r="F148" s="319"/>
      <c r="G148" s="319" t="s">
        <v>230</v>
      </c>
      <c r="H148" s="327">
        <f>'[2]Invoeren'!L140</f>
        <v>0</v>
      </c>
      <c r="I148" s="328">
        <f>'[2]Invoeren'!M141</f>
        <v>0</v>
      </c>
      <c r="J148" s="329">
        <f>'[2]Invoeren'!N141</f>
        <v>0</v>
      </c>
      <c r="K148" s="330">
        <f>'[2]Invoeren'!$C141</f>
        <v>0</v>
      </c>
      <c r="L148" s="324">
        <f>'[2]Invoeren'!AI142</f>
        <v>0</v>
      </c>
      <c r="M148" s="324">
        <f>'[2]Invoeren'!BC142</f>
        <v>0</v>
      </c>
      <c r="N148" s="324">
        <f>'[2]Invoeren'!BW142</f>
        <v>0</v>
      </c>
      <c r="O148" s="324">
        <f>'[2]Invoeren'!CQ142</f>
        <v>0</v>
      </c>
    </row>
    <row r="149" spans="1:15" ht="12.75">
      <c r="A149" s="325">
        <f>'[2]Invoeren'!B143</f>
        <v>1</v>
      </c>
      <c r="B149" s="326">
        <f>'[2]Invoeren'!A142</f>
        <v>136</v>
      </c>
      <c r="C149" s="46">
        <v>199303870</v>
      </c>
      <c r="D149" s="331" t="s">
        <v>370</v>
      </c>
      <c r="E149" s="318" t="s">
        <v>239</v>
      </c>
      <c r="F149" s="319"/>
      <c r="G149" s="319" t="s">
        <v>230</v>
      </c>
      <c r="H149" s="327">
        <f>'[2]Invoeren'!L141</f>
        <v>0</v>
      </c>
      <c r="I149" s="328">
        <f>'[2]Invoeren'!M142</f>
        <v>0</v>
      </c>
      <c r="J149" s="329">
        <f>'[2]Invoeren'!N142</f>
        <v>0</v>
      </c>
      <c r="K149" s="330">
        <f>'[2]Invoeren'!$C142</f>
        <v>0</v>
      </c>
      <c r="L149" s="324">
        <f>'[2]Invoeren'!AI143</f>
        <v>0</v>
      </c>
      <c r="M149" s="324">
        <f>'[2]Invoeren'!BC143</f>
        <v>0</v>
      </c>
      <c r="N149" s="324">
        <f>'[2]Invoeren'!BW143</f>
        <v>0</v>
      </c>
      <c r="O149" s="324">
        <f>'[2]Invoeren'!CQ143</f>
        <v>0</v>
      </c>
    </row>
    <row r="150" spans="1:15" ht="12.75">
      <c r="A150" s="325">
        <f>'[2]Invoeren'!B144</f>
        <v>1</v>
      </c>
      <c r="B150" s="326">
        <f>'[2]Invoeren'!A143</f>
        <v>137</v>
      </c>
      <c r="C150" s="46">
        <v>199304536</v>
      </c>
      <c r="D150" s="331" t="s">
        <v>371</v>
      </c>
      <c r="E150" s="318" t="s">
        <v>254</v>
      </c>
      <c r="F150" s="319"/>
      <c r="G150" s="319" t="s">
        <v>230</v>
      </c>
      <c r="H150" s="327">
        <f>'[2]Invoeren'!L142</f>
        <v>0</v>
      </c>
      <c r="I150" s="328">
        <f>'[2]Invoeren'!M143</f>
        <v>0</v>
      </c>
      <c r="J150" s="329">
        <f>'[2]Invoeren'!N143</f>
        <v>0</v>
      </c>
      <c r="K150" s="330">
        <f>'[2]Invoeren'!$C143</f>
        <v>0</v>
      </c>
      <c r="L150" s="324">
        <f>'[2]Invoeren'!AI144</f>
        <v>0</v>
      </c>
      <c r="M150" s="324">
        <f>'[2]Invoeren'!BC144</f>
        <v>0</v>
      </c>
      <c r="N150" s="324">
        <f>'[2]Invoeren'!BW144</f>
        <v>0</v>
      </c>
      <c r="O150" s="324">
        <f>'[2]Invoeren'!CQ144</f>
        <v>0</v>
      </c>
    </row>
    <row r="151" spans="1:15" ht="12.75">
      <c r="A151" s="325">
        <f>'[2]Invoeren'!B145</f>
        <v>1</v>
      </c>
      <c r="B151" s="326">
        <f>'[2]Invoeren'!A144</f>
        <v>138</v>
      </c>
      <c r="C151" s="46">
        <v>199701886</v>
      </c>
      <c r="D151" s="332" t="s">
        <v>372</v>
      </c>
      <c r="E151" s="318" t="s">
        <v>235</v>
      </c>
      <c r="F151" s="319"/>
      <c r="G151" s="319" t="s">
        <v>230</v>
      </c>
      <c r="H151" s="327">
        <f>'[2]Invoeren'!L143</f>
        <v>0</v>
      </c>
      <c r="I151" s="328">
        <f>'[2]Invoeren'!M144</f>
        <v>0</v>
      </c>
      <c r="J151" s="329">
        <f>'[2]Invoeren'!N144</f>
        <v>0</v>
      </c>
      <c r="K151" s="330">
        <f>'[2]Invoeren'!$C144</f>
        <v>0</v>
      </c>
      <c r="L151" s="324">
        <f>'[2]Invoeren'!AI145</f>
        <v>0</v>
      </c>
      <c r="M151" s="324">
        <f>'[2]Invoeren'!BC145</f>
        <v>0</v>
      </c>
      <c r="N151" s="324">
        <f>'[2]Invoeren'!BW145</f>
        <v>0</v>
      </c>
      <c r="O151" s="324">
        <f>'[2]Invoeren'!CQ145</f>
        <v>0</v>
      </c>
    </row>
    <row r="152" spans="1:15" ht="12.75">
      <c r="A152" s="325">
        <f>'[2]Invoeren'!B146</f>
        <v>1</v>
      </c>
      <c r="B152" s="326">
        <f>'[2]Invoeren'!A145</f>
        <v>139</v>
      </c>
      <c r="C152" s="46">
        <v>199902428</v>
      </c>
      <c r="D152" s="331" t="s">
        <v>373</v>
      </c>
      <c r="E152" s="318" t="s">
        <v>246</v>
      </c>
      <c r="F152" s="319"/>
      <c r="G152" s="319" t="s">
        <v>230</v>
      </c>
      <c r="H152" s="327">
        <f>'[2]Invoeren'!L144</f>
        <v>0</v>
      </c>
      <c r="I152" s="328">
        <f>'[2]Invoeren'!M145</f>
        <v>0</v>
      </c>
      <c r="J152" s="329">
        <f>'[2]Invoeren'!N145</f>
        <v>0</v>
      </c>
      <c r="K152" s="330">
        <f>'[2]Invoeren'!$C145</f>
        <v>0</v>
      </c>
      <c r="L152" s="324">
        <f>'[2]Invoeren'!AI146</f>
        <v>0</v>
      </c>
      <c r="M152" s="324">
        <f>'[2]Invoeren'!BC146</f>
        <v>0</v>
      </c>
      <c r="N152" s="324">
        <f>'[2]Invoeren'!BW146</f>
        <v>0</v>
      </c>
      <c r="O152" s="324">
        <f>'[2]Invoeren'!CQ146</f>
        <v>0</v>
      </c>
    </row>
    <row r="153" spans="1:15" ht="12.75">
      <c r="A153" s="325">
        <f>'[2]Invoeren'!B147</f>
        <v>1</v>
      </c>
      <c r="B153" s="326">
        <f>'[2]Invoeren'!A146</f>
        <v>140</v>
      </c>
      <c r="C153" s="46">
        <v>199900342</v>
      </c>
      <c r="D153" s="331" t="s">
        <v>374</v>
      </c>
      <c r="E153" s="332" t="s">
        <v>229</v>
      </c>
      <c r="F153" s="319"/>
      <c r="G153" s="319" t="s">
        <v>230</v>
      </c>
      <c r="H153" s="327">
        <f>'[2]Invoeren'!L145</f>
        <v>0</v>
      </c>
      <c r="I153" s="328">
        <f>'[2]Invoeren'!M146</f>
        <v>0</v>
      </c>
      <c r="J153" s="329">
        <f>'[2]Invoeren'!N146</f>
        <v>0</v>
      </c>
      <c r="K153" s="330">
        <f>'[2]Invoeren'!$C146</f>
        <v>0</v>
      </c>
      <c r="L153" s="324">
        <f>'[2]Invoeren'!AI147</f>
        <v>0</v>
      </c>
      <c r="M153" s="324">
        <f>'[2]Invoeren'!BC147</f>
        <v>0</v>
      </c>
      <c r="N153" s="324">
        <f>'[2]Invoeren'!BW147</f>
        <v>0</v>
      </c>
      <c r="O153" s="324">
        <f>'[2]Invoeren'!CQ147</f>
        <v>0</v>
      </c>
    </row>
    <row r="154" spans="1:15" ht="12.75">
      <c r="A154" s="325">
        <f>'[2]Invoeren'!B148</f>
        <v>1</v>
      </c>
      <c r="B154" s="326">
        <f>'[2]Invoeren'!A147</f>
        <v>141</v>
      </c>
      <c r="C154" s="46">
        <v>199501996</v>
      </c>
      <c r="D154" s="331" t="s">
        <v>375</v>
      </c>
      <c r="E154" s="318" t="s">
        <v>251</v>
      </c>
      <c r="F154" s="319"/>
      <c r="G154" s="319" t="s">
        <v>230</v>
      </c>
      <c r="H154" s="327">
        <f>'[2]Invoeren'!L146</f>
        <v>0</v>
      </c>
      <c r="I154" s="328">
        <f>'[2]Invoeren'!M147</f>
        <v>0</v>
      </c>
      <c r="J154" s="329">
        <f>'[2]Invoeren'!N147</f>
        <v>0</v>
      </c>
      <c r="K154" s="330">
        <f>'[2]Invoeren'!$C147</f>
        <v>0</v>
      </c>
      <c r="L154" s="324">
        <f>'[2]Invoeren'!AI148</f>
        <v>0</v>
      </c>
      <c r="M154" s="324">
        <f>'[2]Invoeren'!BC148</f>
        <v>0</v>
      </c>
      <c r="N154" s="324">
        <f>'[2]Invoeren'!BW148</f>
        <v>0</v>
      </c>
      <c r="O154" s="324">
        <f>'[2]Invoeren'!CQ148</f>
        <v>0</v>
      </c>
    </row>
    <row r="155" spans="1:15" ht="12.75">
      <c r="A155" s="325">
        <f>'[2]Invoeren'!B149</f>
        <v>1</v>
      </c>
      <c r="B155" s="326">
        <f>'[2]Invoeren'!A148</f>
        <v>142</v>
      </c>
      <c r="C155" s="46">
        <v>199003288</v>
      </c>
      <c r="D155" s="331" t="s">
        <v>376</v>
      </c>
      <c r="E155" s="318" t="s">
        <v>239</v>
      </c>
      <c r="F155" s="319"/>
      <c r="G155" s="319" t="s">
        <v>230</v>
      </c>
      <c r="H155" s="327">
        <f>'[2]Invoeren'!L147</f>
        <v>0</v>
      </c>
      <c r="I155" s="328">
        <f>'[2]Invoeren'!M148</f>
        <v>0</v>
      </c>
      <c r="J155" s="329">
        <f>'[2]Invoeren'!N148</f>
        <v>0</v>
      </c>
      <c r="K155" s="330">
        <f>'[2]Invoeren'!$C148</f>
        <v>0</v>
      </c>
      <c r="L155" s="324">
        <f>'[2]Invoeren'!AI149</f>
        <v>0</v>
      </c>
      <c r="M155" s="324">
        <f>'[2]Invoeren'!BC149</f>
        <v>0</v>
      </c>
      <c r="N155" s="324">
        <f>'[2]Invoeren'!BW149</f>
        <v>0</v>
      </c>
      <c r="O155" s="324">
        <f>'[2]Invoeren'!CQ149</f>
        <v>0</v>
      </c>
    </row>
    <row r="156" spans="1:15" ht="12.75">
      <c r="A156" s="325">
        <f>'[2]Invoeren'!B150</f>
        <v>1</v>
      </c>
      <c r="B156" s="326">
        <f>'[2]Invoeren'!A149</f>
        <v>143</v>
      </c>
      <c r="C156" s="46">
        <v>199701882</v>
      </c>
      <c r="D156" s="332" t="s">
        <v>377</v>
      </c>
      <c r="E156" s="318" t="s">
        <v>235</v>
      </c>
      <c r="F156" s="319"/>
      <c r="G156" s="319" t="s">
        <v>230</v>
      </c>
      <c r="H156" s="327">
        <f>'[2]Invoeren'!L148</f>
        <v>0</v>
      </c>
      <c r="I156" s="328">
        <f>'[2]Invoeren'!M149</f>
        <v>0</v>
      </c>
      <c r="J156" s="329">
        <f>'[2]Invoeren'!N149</f>
        <v>0</v>
      </c>
      <c r="K156" s="330">
        <f>'[2]Invoeren'!$C149</f>
        <v>0</v>
      </c>
      <c r="L156" s="324">
        <f>'[2]Invoeren'!AI150</f>
        <v>0</v>
      </c>
      <c r="M156" s="324">
        <f>'[2]Invoeren'!BC150</f>
        <v>0</v>
      </c>
      <c r="N156" s="324">
        <f>'[2]Invoeren'!BW150</f>
        <v>0</v>
      </c>
      <c r="O156" s="324">
        <f>'[2]Invoeren'!CQ150</f>
        <v>0</v>
      </c>
    </row>
    <row r="157" spans="1:15" ht="12.75">
      <c r="A157" s="325">
        <f>'[2]Invoeren'!B151</f>
        <v>1</v>
      </c>
      <c r="B157" s="326">
        <f>'[2]Invoeren'!A150</f>
        <v>144</v>
      </c>
      <c r="C157" s="46">
        <v>199902458</v>
      </c>
      <c r="D157" s="332" t="s">
        <v>378</v>
      </c>
      <c r="E157" s="318" t="s">
        <v>235</v>
      </c>
      <c r="F157" s="319"/>
      <c r="G157" s="319" t="s">
        <v>230</v>
      </c>
      <c r="H157" s="327">
        <f>'[2]Invoeren'!L149</f>
        <v>0</v>
      </c>
      <c r="I157" s="328">
        <f>'[2]Invoeren'!M150</f>
        <v>0</v>
      </c>
      <c r="J157" s="329">
        <f>'[2]Invoeren'!N150</f>
        <v>0</v>
      </c>
      <c r="K157" s="330">
        <f>'[2]Invoeren'!$C150</f>
        <v>0</v>
      </c>
      <c r="L157" s="324">
        <f>'[2]Invoeren'!AI151</f>
        <v>0</v>
      </c>
      <c r="M157" s="324">
        <f>'[2]Invoeren'!BC151</f>
        <v>0</v>
      </c>
      <c r="N157" s="324">
        <f>'[2]Invoeren'!BW151</f>
        <v>0</v>
      </c>
      <c r="O157" s="324">
        <f>'[2]Invoeren'!CQ151</f>
        <v>0</v>
      </c>
    </row>
    <row r="158" spans="1:15" ht="12.75">
      <c r="A158" s="325">
        <f>'[2]Invoeren'!B152</f>
        <v>1</v>
      </c>
      <c r="B158" s="326">
        <f>'[2]Invoeren'!A151</f>
        <v>145</v>
      </c>
      <c r="C158" s="317">
        <v>200004706</v>
      </c>
      <c r="D158" t="s">
        <v>379</v>
      </c>
      <c r="E158" s="318" t="s">
        <v>239</v>
      </c>
      <c r="F158" s="319"/>
      <c r="G158" s="319" t="s">
        <v>230</v>
      </c>
      <c r="H158" s="327">
        <f>'[2]Invoeren'!L151</f>
        <v>0</v>
      </c>
      <c r="I158" s="328">
        <f>'[2]Invoeren'!M151</f>
        <v>0</v>
      </c>
      <c r="J158" s="329">
        <f>'[2]Invoeren'!N151</f>
        <v>0</v>
      </c>
      <c r="K158" s="330">
        <f>'[2]Invoeren'!$C151</f>
        <v>0</v>
      </c>
      <c r="L158" s="324">
        <f>'[2]Invoeren'!AI152</f>
        <v>0</v>
      </c>
      <c r="M158" s="324">
        <f>'[2]Invoeren'!BC152</f>
        <v>0</v>
      </c>
      <c r="N158" s="324">
        <f>'[2]Invoeren'!BW152</f>
        <v>0</v>
      </c>
      <c r="O158" s="324">
        <f>'[2]Invoeren'!CQ152</f>
        <v>0</v>
      </c>
    </row>
    <row r="159" spans="1:15" ht="12.75">
      <c r="A159" s="325">
        <f>'[2]Invoeren'!B153</f>
        <v>1</v>
      </c>
      <c r="B159" s="326">
        <f>'[2]Invoeren'!A152</f>
        <v>146</v>
      </c>
      <c r="C159" s="317"/>
      <c r="D159" t="s">
        <v>380</v>
      </c>
      <c r="E159" s="318" t="s">
        <v>251</v>
      </c>
      <c r="F159" s="319"/>
      <c r="G159" s="319" t="s">
        <v>230</v>
      </c>
      <c r="H159" s="327">
        <f>'[2]Invoeren'!L152</f>
        <v>0</v>
      </c>
      <c r="I159" s="328">
        <f>'[2]Invoeren'!M152</f>
        <v>0</v>
      </c>
      <c r="J159" s="329">
        <f>'[2]Invoeren'!N152</f>
        <v>0</v>
      </c>
      <c r="K159" s="330">
        <f>'[2]Invoeren'!$C152</f>
        <v>0</v>
      </c>
      <c r="L159" s="324">
        <f>'[2]Invoeren'!AI153</f>
        <v>0</v>
      </c>
      <c r="M159" s="324">
        <f>'[2]Invoeren'!BC153</f>
        <v>0</v>
      </c>
      <c r="N159" s="324">
        <f>'[2]Invoeren'!BW153</f>
        <v>0</v>
      </c>
      <c r="O159" s="324">
        <f>'[2]Invoeren'!CQ153</f>
        <v>0</v>
      </c>
    </row>
    <row r="160" spans="1:15" ht="12.75">
      <c r="A160" s="325">
        <f>'[2]Invoeren'!B154</f>
        <v>1</v>
      </c>
      <c r="B160" s="326">
        <f>'[2]Invoeren'!A153</f>
        <v>147</v>
      </c>
      <c r="C160" s="317">
        <v>2004</v>
      </c>
      <c r="D160" t="s">
        <v>381</v>
      </c>
      <c r="E160" s="318" t="s">
        <v>235</v>
      </c>
      <c r="F160" s="319"/>
      <c r="G160" s="319" t="s">
        <v>230</v>
      </c>
      <c r="H160" s="327">
        <f>'[2]Invoeren'!L153</f>
        <v>0</v>
      </c>
      <c r="I160" s="328">
        <f>'[2]Invoeren'!M153</f>
        <v>0</v>
      </c>
      <c r="J160" s="329">
        <f>'[2]Invoeren'!N153</f>
        <v>0</v>
      </c>
      <c r="K160" s="330">
        <f>'[2]Invoeren'!$C153</f>
        <v>0</v>
      </c>
      <c r="L160" s="324">
        <f>'[2]Invoeren'!AI154</f>
        <v>0</v>
      </c>
      <c r="M160" s="324">
        <f>'[2]Invoeren'!BC154</f>
        <v>0</v>
      </c>
      <c r="N160" s="324">
        <f>'[2]Invoeren'!BW154</f>
        <v>0</v>
      </c>
      <c r="O160" s="324">
        <f>'[2]Invoeren'!CQ154</f>
        <v>0</v>
      </c>
    </row>
    <row r="161" spans="1:15" ht="12.75">
      <c r="A161" s="325">
        <f>'[2]Invoeren'!B155</f>
        <v>1</v>
      </c>
      <c r="B161" s="326">
        <f>'[2]Invoeren'!A154</f>
        <v>148</v>
      </c>
      <c r="C161" s="340">
        <v>199802322</v>
      </c>
      <c r="D161" s="341" t="s">
        <v>382</v>
      </c>
      <c r="E161" s="342" t="s">
        <v>239</v>
      </c>
      <c r="F161" s="343"/>
      <c r="G161" s="343" t="s">
        <v>230</v>
      </c>
      <c r="H161" s="327">
        <f>'[2]Invoeren'!L154</f>
        <v>0</v>
      </c>
      <c r="I161" s="328">
        <f>'[2]Invoeren'!M154</f>
        <v>0</v>
      </c>
      <c r="J161" s="329">
        <f>'[2]Invoeren'!N154</f>
        <v>0</v>
      </c>
      <c r="K161" s="330">
        <f>'[2]Invoeren'!$C154</f>
        <v>0</v>
      </c>
      <c r="L161" s="324">
        <f>'[2]Invoeren'!AI155</f>
        <v>0</v>
      </c>
      <c r="M161" s="324">
        <f>'[2]Invoeren'!BC155</f>
        <v>0</v>
      </c>
      <c r="N161" s="324">
        <f>'[2]Invoeren'!BW155</f>
        <v>0</v>
      </c>
      <c r="O161" s="324">
        <f>'[2]Invoeren'!CQ155</f>
        <v>0</v>
      </c>
    </row>
    <row r="162" spans="1:15" ht="12.75">
      <c r="A162" s="325">
        <f>'[2]Invoeren'!B156</f>
        <v>1</v>
      </c>
      <c r="B162" s="326">
        <f>'[2]Invoeren'!A155</f>
        <v>149</v>
      </c>
      <c r="C162" s="344">
        <v>199905320</v>
      </c>
      <c r="D162" s="345" t="s">
        <v>383</v>
      </c>
      <c r="E162" s="342" t="s">
        <v>239</v>
      </c>
      <c r="F162" s="343"/>
      <c r="G162" s="343" t="s">
        <v>230</v>
      </c>
      <c r="H162" s="327">
        <f>'[2]Invoeren'!L155</f>
        <v>0</v>
      </c>
      <c r="I162" s="328">
        <f>'[2]Invoeren'!M155</f>
        <v>0</v>
      </c>
      <c r="J162" s="329">
        <f>'[2]Invoeren'!N155</f>
        <v>0</v>
      </c>
      <c r="K162" s="330">
        <f>'[2]Invoeren'!$C155</f>
        <v>0</v>
      </c>
      <c r="L162" s="324">
        <f>'[2]Invoeren'!AI156</f>
        <v>0</v>
      </c>
      <c r="M162" s="324">
        <f>'[2]Invoeren'!BC156</f>
        <v>0</v>
      </c>
      <c r="N162" s="324">
        <f>'[2]Invoeren'!BW156</f>
        <v>0</v>
      </c>
      <c r="O162" s="324">
        <f>'[2]Invoeren'!CQ156</f>
        <v>0</v>
      </c>
    </row>
    <row r="163" spans="1:15" ht="12.75">
      <c r="A163" s="325">
        <f>'[2]Invoeren'!B157</f>
        <v>1</v>
      </c>
      <c r="B163" s="326">
        <f>'[2]Invoeren'!A156</f>
        <v>150</v>
      </c>
      <c r="C163" s="340">
        <v>199705502</v>
      </c>
      <c r="D163" s="346" t="s">
        <v>384</v>
      </c>
      <c r="E163" s="342" t="s">
        <v>235</v>
      </c>
      <c r="F163" s="343"/>
      <c r="G163" s="343" t="s">
        <v>230</v>
      </c>
      <c r="H163" s="327">
        <f>'[2]Invoeren'!L156</f>
        <v>0</v>
      </c>
      <c r="I163" s="328">
        <f>'[2]Invoeren'!M156</f>
        <v>0</v>
      </c>
      <c r="J163" s="329">
        <f>'[2]Invoeren'!N156</f>
        <v>0</v>
      </c>
      <c r="K163" s="330">
        <f>'[2]Invoeren'!$C156</f>
        <v>0</v>
      </c>
      <c r="L163" s="324">
        <f>'[2]Invoeren'!AI157</f>
        <v>0</v>
      </c>
      <c r="M163" s="324">
        <f>'[2]Invoeren'!BC157</f>
        <v>0</v>
      </c>
      <c r="N163" s="324">
        <f>'[2]Invoeren'!BW157</f>
        <v>0</v>
      </c>
      <c r="O163" s="324">
        <f>'[2]Invoeren'!CQ157</f>
        <v>0</v>
      </c>
    </row>
    <row r="164" spans="1:15" ht="12.75">
      <c r="A164" s="325">
        <f>'[2]Invoeren'!B158</f>
        <v>1</v>
      </c>
      <c r="B164" s="326">
        <f>'[2]Invoeren'!A157</f>
        <v>151</v>
      </c>
      <c r="C164" s="340">
        <v>200002600</v>
      </c>
      <c r="D164" s="346" t="s">
        <v>385</v>
      </c>
      <c r="E164" s="342" t="s">
        <v>235</v>
      </c>
      <c r="F164" s="343"/>
      <c r="G164" s="343" t="s">
        <v>230</v>
      </c>
      <c r="H164" s="327">
        <f>'[2]Invoeren'!L157</f>
        <v>0</v>
      </c>
      <c r="I164" s="328">
        <f>'[2]Invoeren'!M157</f>
        <v>0</v>
      </c>
      <c r="J164" s="329">
        <f>'[2]Invoeren'!N157</f>
        <v>0</v>
      </c>
      <c r="K164" s="330">
        <f>'[2]Invoeren'!$C157</f>
        <v>0</v>
      </c>
      <c r="L164" s="324">
        <f>'[2]Invoeren'!AI158</f>
        <v>0</v>
      </c>
      <c r="M164" s="324">
        <f>'[2]Invoeren'!BC158</f>
        <v>0</v>
      </c>
      <c r="N164" s="324">
        <f>'[2]Invoeren'!BW158</f>
        <v>0</v>
      </c>
      <c r="O164" s="324">
        <f>'[2]Invoeren'!CQ158</f>
        <v>0</v>
      </c>
    </row>
    <row r="165" spans="1:15" ht="12.75">
      <c r="A165" s="325">
        <f>'[2]Invoeren'!B159</f>
        <v>1</v>
      </c>
      <c r="B165" s="326">
        <f>'[2]Invoeren'!A158</f>
        <v>152</v>
      </c>
      <c r="C165" s="340">
        <v>200101280</v>
      </c>
      <c r="D165" s="346" t="s">
        <v>386</v>
      </c>
      <c r="E165" s="342" t="s">
        <v>235</v>
      </c>
      <c r="F165" s="343"/>
      <c r="G165" s="343" t="s">
        <v>230</v>
      </c>
      <c r="H165" s="327">
        <f>'[2]Invoeren'!L158</f>
        <v>0</v>
      </c>
      <c r="I165" s="328">
        <f>'[2]Invoeren'!M158</f>
        <v>0</v>
      </c>
      <c r="J165" s="329">
        <f>'[2]Invoeren'!N158</f>
        <v>0</v>
      </c>
      <c r="K165" s="330">
        <f>'[2]Invoeren'!$C158</f>
        <v>0</v>
      </c>
      <c r="L165" s="324">
        <f>'[2]Invoeren'!AI159</f>
        <v>0</v>
      </c>
      <c r="M165" s="324">
        <f>'[2]Invoeren'!BC159</f>
        <v>0</v>
      </c>
      <c r="N165" s="324">
        <f>'[2]Invoeren'!BW159</f>
        <v>0</v>
      </c>
      <c r="O165" s="324">
        <f>'[2]Invoeren'!CQ159</f>
        <v>0</v>
      </c>
    </row>
    <row r="166" spans="1:15" ht="12.75">
      <c r="A166" s="325">
        <f>'[2]Invoeren'!B160</f>
        <v>1</v>
      </c>
      <c r="B166" s="326">
        <f>'[2]Invoeren'!A159</f>
        <v>153</v>
      </c>
      <c r="C166" s="347">
        <f>'[2]Invoeren'!$G159</f>
        <v>0</v>
      </c>
      <c r="D166" s="348">
        <f>'[2]Invoeren'!D159</f>
        <v>0</v>
      </c>
      <c r="E166" s="348">
        <f>'[2]Invoeren'!E159</f>
        <v>0</v>
      </c>
      <c r="F166" s="348">
        <f>'[2]Invoeren'!$I159</f>
        <v>0</v>
      </c>
      <c r="G166" s="329">
        <f>'[2]Invoeren'!$H159</f>
        <v>0</v>
      </c>
      <c r="H166" s="327">
        <f>'[2]Invoeren'!L159</f>
        <v>0</v>
      </c>
      <c r="I166" s="328">
        <f>'[2]Invoeren'!M159</f>
        <v>0</v>
      </c>
      <c r="J166" s="329">
        <f>'[2]Invoeren'!N159</f>
        <v>0</v>
      </c>
      <c r="K166" s="330">
        <f>'[2]Invoeren'!$C159</f>
        <v>0</v>
      </c>
      <c r="L166" s="324">
        <f>'[2]Invoeren'!AI160</f>
        <v>0</v>
      </c>
      <c r="M166" s="324">
        <f>'[2]Invoeren'!BC160</f>
        <v>0</v>
      </c>
      <c r="N166" s="324">
        <f>'[2]Invoeren'!BW160</f>
        <v>0</v>
      </c>
      <c r="O166" s="324">
        <f>'[2]Invoeren'!CQ160</f>
        <v>0</v>
      </c>
    </row>
    <row r="167" spans="1:15" ht="12.75">
      <c r="A167" s="325">
        <f>'[2]Invoeren'!B161</f>
        <v>1</v>
      </c>
      <c r="B167" s="326">
        <f>'[2]Invoeren'!A160</f>
        <v>154</v>
      </c>
      <c r="C167" s="347">
        <f>'[2]Invoeren'!$G160</f>
        <v>0</v>
      </c>
      <c r="D167" s="348">
        <f>'[2]Invoeren'!D160</f>
        <v>0</v>
      </c>
      <c r="E167" s="348">
        <f>'[2]Invoeren'!E160</f>
        <v>0</v>
      </c>
      <c r="F167" s="348">
        <f>'[2]Invoeren'!$I160</f>
        <v>0</v>
      </c>
      <c r="G167" s="329">
        <f>'[2]Invoeren'!$H160</f>
        <v>0</v>
      </c>
      <c r="H167" s="327">
        <f>'[2]Invoeren'!L160</f>
        <v>0</v>
      </c>
      <c r="I167" s="328">
        <f>'[2]Invoeren'!M160</f>
        <v>0</v>
      </c>
      <c r="J167" s="329">
        <f>'[2]Invoeren'!N160</f>
        <v>0</v>
      </c>
      <c r="K167" s="330">
        <f>'[2]Invoeren'!$C160</f>
        <v>0</v>
      </c>
      <c r="L167" s="324">
        <f>'[2]Invoeren'!AI161</f>
        <v>0</v>
      </c>
      <c r="M167" s="324">
        <f>'[2]Invoeren'!BC161</f>
        <v>0</v>
      </c>
      <c r="N167" s="324">
        <f>'[2]Invoeren'!BW161</f>
        <v>0</v>
      </c>
      <c r="O167" s="324">
        <f>'[2]Invoeren'!CQ161</f>
        <v>0</v>
      </c>
    </row>
    <row r="168" spans="1:15" ht="12.75">
      <c r="A168" s="325">
        <f>'[2]Invoeren'!B162</f>
        <v>1</v>
      </c>
      <c r="B168" s="326">
        <f>'[2]Invoeren'!A161</f>
        <v>155</v>
      </c>
      <c r="C168" s="347">
        <f>'[2]Invoeren'!$G161</f>
        <v>0</v>
      </c>
      <c r="D168" s="348">
        <f>'[2]Invoeren'!D161</f>
        <v>0</v>
      </c>
      <c r="E168" s="348">
        <f>'[2]Invoeren'!E161</f>
        <v>0</v>
      </c>
      <c r="F168" s="348">
        <f>'[2]Invoeren'!$I161</f>
        <v>0</v>
      </c>
      <c r="G168" s="329">
        <f>'[2]Invoeren'!$H161</f>
        <v>0</v>
      </c>
      <c r="H168" s="327">
        <f>'[2]Invoeren'!L161</f>
        <v>0</v>
      </c>
      <c r="I168" s="328">
        <f>'[2]Invoeren'!M161</f>
        <v>0</v>
      </c>
      <c r="J168" s="329">
        <f>'[2]Invoeren'!N161</f>
        <v>0</v>
      </c>
      <c r="K168" s="330">
        <f>'[2]Invoeren'!$C161</f>
        <v>0</v>
      </c>
      <c r="L168" s="324">
        <f>'[2]Invoeren'!AI162</f>
        <v>0</v>
      </c>
      <c r="M168" s="324">
        <f>'[2]Invoeren'!BC162</f>
        <v>0</v>
      </c>
      <c r="N168" s="324">
        <f>'[2]Invoeren'!BW162</f>
        <v>0</v>
      </c>
      <c r="O168" s="324">
        <f>'[2]Invoeren'!CQ162</f>
        <v>0</v>
      </c>
    </row>
    <row r="169" spans="1:15" ht="12.75">
      <c r="A169" s="325">
        <f>'[2]Invoeren'!B163</f>
        <v>1</v>
      </c>
      <c r="B169" s="326">
        <f>'[2]Invoeren'!A162</f>
        <v>156</v>
      </c>
      <c r="C169" s="347">
        <f>'[2]Invoeren'!$G162</f>
        <v>0</v>
      </c>
      <c r="D169" s="348">
        <f>'[2]Invoeren'!D162</f>
        <v>0</v>
      </c>
      <c r="E169" s="348">
        <f>'[2]Invoeren'!E162</f>
        <v>0</v>
      </c>
      <c r="F169" s="348">
        <f>'[2]Invoeren'!$I162</f>
        <v>0</v>
      </c>
      <c r="G169" s="329">
        <f>'[2]Invoeren'!$H162</f>
        <v>0</v>
      </c>
      <c r="H169" s="327">
        <f>'[2]Invoeren'!L162</f>
        <v>0</v>
      </c>
      <c r="I169" s="328">
        <f>'[2]Invoeren'!M162</f>
        <v>0</v>
      </c>
      <c r="J169" s="329">
        <f>'[2]Invoeren'!N162</f>
        <v>0</v>
      </c>
      <c r="K169" s="330">
        <f>'[2]Invoeren'!$C162</f>
        <v>0</v>
      </c>
      <c r="L169" s="324">
        <f>'[2]Invoeren'!AI163</f>
        <v>0</v>
      </c>
      <c r="M169" s="324">
        <f>'[2]Invoeren'!BC163</f>
        <v>0</v>
      </c>
      <c r="N169" s="324">
        <f>'[2]Invoeren'!BW163</f>
        <v>0</v>
      </c>
      <c r="O169" s="324">
        <f>'[2]Invoeren'!CQ163</f>
        <v>0</v>
      </c>
    </row>
    <row r="170" spans="1:15" ht="12.75">
      <c r="A170" s="325">
        <f>'[2]Invoeren'!B164</f>
        <v>1</v>
      </c>
      <c r="B170" s="326">
        <f>'[2]Invoeren'!A163</f>
        <v>157</v>
      </c>
      <c r="C170" s="347">
        <f>'[2]Invoeren'!$G163</f>
        <v>0</v>
      </c>
      <c r="D170" s="348">
        <f>'[2]Invoeren'!D163</f>
        <v>0</v>
      </c>
      <c r="E170" s="348">
        <f>'[2]Invoeren'!E163</f>
        <v>0</v>
      </c>
      <c r="F170" s="348">
        <f>'[2]Invoeren'!$I163</f>
        <v>0</v>
      </c>
      <c r="G170" s="329">
        <f>'[2]Invoeren'!$H163</f>
        <v>0</v>
      </c>
      <c r="H170" s="327">
        <f>'[2]Invoeren'!L163</f>
        <v>0</v>
      </c>
      <c r="I170" s="328">
        <f>'[2]Invoeren'!M163</f>
        <v>0</v>
      </c>
      <c r="J170" s="329">
        <f>'[2]Invoeren'!N163</f>
        <v>0</v>
      </c>
      <c r="K170" s="330">
        <f>'[2]Invoeren'!$C163</f>
        <v>0</v>
      </c>
      <c r="L170" s="324">
        <f>'[2]Invoeren'!AI164</f>
        <v>0</v>
      </c>
      <c r="M170" s="324">
        <f>'[2]Invoeren'!BC164</f>
        <v>0</v>
      </c>
      <c r="N170" s="324">
        <f>'[2]Invoeren'!BW164</f>
        <v>0</v>
      </c>
      <c r="O170" s="324">
        <f>'[2]Invoeren'!CQ164</f>
        <v>0</v>
      </c>
    </row>
    <row r="171" spans="1:15" ht="12.75">
      <c r="A171" s="325">
        <f>'[2]Invoeren'!B165</f>
        <v>1</v>
      </c>
      <c r="B171" s="326">
        <f>'[2]Invoeren'!A164</f>
        <v>158</v>
      </c>
      <c r="C171" s="347">
        <f>'[2]Invoeren'!$G164</f>
        <v>0</v>
      </c>
      <c r="D171" s="348">
        <f>'[2]Invoeren'!D164</f>
        <v>0</v>
      </c>
      <c r="E171" s="348">
        <f>'[2]Invoeren'!E164</f>
        <v>0</v>
      </c>
      <c r="F171" s="348">
        <f>'[2]Invoeren'!$I164</f>
        <v>0</v>
      </c>
      <c r="G171" s="329">
        <f>'[2]Invoeren'!$H164</f>
        <v>0</v>
      </c>
      <c r="H171" s="327">
        <f>'[2]Invoeren'!L164</f>
        <v>0</v>
      </c>
      <c r="I171" s="328">
        <f>'[2]Invoeren'!M164</f>
        <v>0</v>
      </c>
      <c r="J171" s="329">
        <f>'[2]Invoeren'!N164</f>
        <v>0</v>
      </c>
      <c r="K171" s="330">
        <f>'[2]Invoeren'!$C164</f>
        <v>0</v>
      </c>
      <c r="L171" s="324">
        <f>'[2]Invoeren'!AI165</f>
        <v>0</v>
      </c>
      <c r="M171" s="324">
        <f>'[2]Invoeren'!BC165</f>
        <v>0</v>
      </c>
      <c r="N171" s="324">
        <f>'[2]Invoeren'!BW165</f>
        <v>0</v>
      </c>
      <c r="O171" s="324">
        <f>'[2]Invoeren'!CQ165</f>
        <v>0</v>
      </c>
    </row>
    <row r="172" spans="1:15" ht="12.75">
      <c r="A172" s="325">
        <f>'[2]Invoeren'!B166</f>
        <v>1</v>
      </c>
      <c r="B172" s="326">
        <f>'[2]Invoeren'!A165</f>
        <v>159</v>
      </c>
      <c r="C172" s="347">
        <f>'[2]Invoeren'!$G165</f>
        <v>0</v>
      </c>
      <c r="D172" s="348">
        <f>'[2]Invoeren'!D165</f>
        <v>0</v>
      </c>
      <c r="E172" s="348">
        <f>'[2]Invoeren'!E165</f>
        <v>0</v>
      </c>
      <c r="F172" s="348">
        <f>'[2]Invoeren'!$I165</f>
        <v>0</v>
      </c>
      <c r="G172" s="329">
        <f>'[2]Invoeren'!$H165</f>
        <v>0</v>
      </c>
      <c r="H172" s="327">
        <f>'[2]Invoeren'!L165</f>
        <v>0</v>
      </c>
      <c r="I172" s="328">
        <f>'[2]Invoeren'!M165</f>
        <v>0</v>
      </c>
      <c r="J172" s="329">
        <f>'[2]Invoeren'!N165</f>
        <v>0</v>
      </c>
      <c r="K172" s="330">
        <f>'[2]Invoeren'!$C165</f>
        <v>0</v>
      </c>
      <c r="L172" s="324">
        <f>'[2]Invoeren'!AI166</f>
        <v>0</v>
      </c>
      <c r="M172" s="324">
        <f>'[2]Invoeren'!BC166</f>
        <v>0</v>
      </c>
      <c r="N172" s="324">
        <f>'[2]Invoeren'!BW166</f>
        <v>0</v>
      </c>
      <c r="O172" s="324">
        <f>'[2]Invoeren'!CQ166</f>
        <v>0</v>
      </c>
    </row>
    <row r="173" spans="1:15" ht="12.75">
      <c r="A173" s="325">
        <f>'[2]Invoeren'!B167</f>
        <v>1</v>
      </c>
      <c r="B173" s="326">
        <f>'[2]Invoeren'!A166</f>
        <v>160</v>
      </c>
      <c r="C173" s="347">
        <f>'[2]Invoeren'!$G166</f>
        <v>0</v>
      </c>
      <c r="D173" s="348">
        <f>'[2]Invoeren'!D166</f>
        <v>0</v>
      </c>
      <c r="E173" s="348">
        <f>'[2]Invoeren'!E166</f>
        <v>0</v>
      </c>
      <c r="F173" s="348">
        <f>'[2]Invoeren'!$I166</f>
        <v>0</v>
      </c>
      <c r="G173" s="329">
        <f>'[2]Invoeren'!$H166</f>
        <v>0</v>
      </c>
      <c r="H173" s="327">
        <f>'[2]Invoeren'!L166</f>
        <v>0</v>
      </c>
      <c r="I173" s="328">
        <f>'[2]Invoeren'!M166</f>
        <v>0</v>
      </c>
      <c r="J173" s="329">
        <f>'[2]Invoeren'!N166</f>
        <v>0</v>
      </c>
      <c r="K173" s="330">
        <f>'[2]Invoeren'!$C166</f>
        <v>0</v>
      </c>
      <c r="L173" s="324">
        <f>'[2]Invoeren'!AI167</f>
        <v>0</v>
      </c>
      <c r="M173" s="324">
        <f>'[2]Invoeren'!BC167</f>
        <v>0</v>
      </c>
      <c r="N173" s="324">
        <f>'[2]Invoeren'!BW167</f>
        <v>0</v>
      </c>
      <c r="O173" s="324">
        <f>'[2]Invoeren'!CQ167</f>
        <v>0</v>
      </c>
    </row>
    <row r="174" spans="1:15" ht="12.75">
      <c r="A174" s="325">
        <f>'[2]Invoeren'!B168</f>
        <v>1</v>
      </c>
      <c r="B174" s="326">
        <f>'[2]Invoeren'!A167</f>
        <v>161</v>
      </c>
      <c r="C174" s="347">
        <f>'[2]Invoeren'!$G167</f>
        <v>0</v>
      </c>
      <c r="D174" s="348">
        <f>'[2]Invoeren'!D167</f>
        <v>0</v>
      </c>
      <c r="E174" s="348">
        <f>'[2]Invoeren'!E167</f>
        <v>0</v>
      </c>
      <c r="F174" s="348">
        <f>'[2]Invoeren'!$I167</f>
        <v>0</v>
      </c>
      <c r="G174" s="329">
        <f>'[2]Invoeren'!$H167</f>
        <v>0</v>
      </c>
      <c r="H174" s="327">
        <f>'[2]Invoeren'!L167</f>
        <v>0</v>
      </c>
      <c r="I174" s="328">
        <f>'[2]Invoeren'!M167</f>
        <v>0</v>
      </c>
      <c r="J174" s="329">
        <f>'[2]Invoeren'!N167</f>
        <v>0</v>
      </c>
      <c r="K174" s="330">
        <f>'[2]Invoeren'!$C167</f>
        <v>0</v>
      </c>
      <c r="L174" s="324">
        <f>'[2]Invoeren'!AI168</f>
        <v>0</v>
      </c>
      <c r="M174" s="324">
        <f>'[2]Invoeren'!BC168</f>
        <v>0</v>
      </c>
      <c r="N174" s="324">
        <f>'[2]Invoeren'!BW168</f>
        <v>0</v>
      </c>
      <c r="O174" s="324">
        <f>'[2]Invoeren'!CQ168</f>
        <v>0</v>
      </c>
    </row>
    <row r="175" spans="1:15" ht="12.75">
      <c r="A175" s="325">
        <f>'[2]Invoeren'!B169</f>
        <v>1</v>
      </c>
      <c r="B175" s="326">
        <f>'[2]Invoeren'!A168</f>
        <v>162</v>
      </c>
      <c r="C175" s="347">
        <f>'[2]Invoeren'!$G168</f>
        <v>0</v>
      </c>
      <c r="D175" s="348">
        <f>'[2]Invoeren'!D168</f>
        <v>0</v>
      </c>
      <c r="E175" s="348">
        <f>'[2]Invoeren'!E168</f>
        <v>0</v>
      </c>
      <c r="F175" s="348">
        <f>'[2]Invoeren'!$I168</f>
        <v>0</v>
      </c>
      <c r="G175" s="329">
        <f>'[2]Invoeren'!$H168</f>
        <v>0</v>
      </c>
      <c r="H175" s="327">
        <f>'[2]Invoeren'!L168</f>
        <v>0</v>
      </c>
      <c r="I175" s="328">
        <f>'[2]Invoeren'!M168</f>
        <v>0</v>
      </c>
      <c r="J175" s="329">
        <f>'[2]Invoeren'!N168</f>
        <v>0</v>
      </c>
      <c r="K175" s="330">
        <f>'[2]Invoeren'!$C168</f>
        <v>0</v>
      </c>
      <c r="L175" s="324">
        <f>'[2]Invoeren'!AI169</f>
        <v>0</v>
      </c>
      <c r="M175" s="324">
        <f>'[2]Invoeren'!BC169</f>
        <v>0</v>
      </c>
      <c r="N175" s="324">
        <f>'[2]Invoeren'!BW169</f>
        <v>0</v>
      </c>
      <c r="O175" s="324">
        <f>'[2]Invoeren'!CQ169</f>
        <v>0</v>
      </c>
    </row>
    <row r="176" spans="1:15" ht="12.75">
      <c r="A176" s="325">
        <f>'[2]Invoeren'!B170</f>
        <v>1</v>
      </c>
      <c r="B176" s="326">
        <f>'[2]Invoeren'!A169</f>
        <v>163</v>
      </c>
      <c r="C176" s="347">
        <f>'[2]Invoeren'!$G169</f>
        <v>0</v>
      </c>
      <c r="D176" s="348">
        <f>'[2]Invoeren'!D169</f>
        <v>0</v>
      </c>
      <c r="E176" s="348">
        <f>'[2]Invoeren'!E169</f>
        <v>0</v>
      </c>
      <c r="F176" s="348">
        <f>'[2]Invoeren'!$I169</f>
        <v>0</v>
      </c>
      <c r="G176" s="329">
        <f>'[2]Invoeren'!$H169</f>
        <v>0</v>
      </c>
      <c r="H176" s="327">
        <f>'[2]Invoeren'!L169</f>
        <v>0</v>
      </c>
      <c r="I176" s="328">
        <f>'[2]Invoeren'!M169</f>
        <v>0</v>
      </c>
      <c r="J176" s="329">
        <f>'[2]Invoeren'!N169</f>
        <v>0</v>
      </c>
      <c r="K176" s="330">
        <f>'[2]Invoeren'!$C169</f>
        <v>0</v>
      </c>
      <c r="L176" s="324">
        <f>'[2]Invoeren'!AI170</f>
        <v>0</v>
      </c>
      <c r="M176" s="324">
        <f>'[2]Invoeren'!BC170</f>
        <v>0</v>
      </c>
      <c r="N176" s="324">
        <f>'[2]Invoeren'!BW170</f>
        <v>0</v>
      </c>
      <c r="O176" s="324">
        <f>'[2]Invoeren'!CQ170</f>
        <v>0</v>
      </c>
    </row>
    <row r="177" spans="1:15" ht="12.75">
      <c r="A177" s="325">
        <f>'[2]Invoeren'!B171</f>
        <v>1</v>
      </c>
      <c r="B177" s="326">
        <f>'[2]Invoeren'!A170</f>
        <v>164</v>
      </c>
      <c r="C177" s="347">
        <f>'[2]Invoeren'!$G170</f>
        <v>0</v>
      </c>
      <c r="D177" s="348">
        <f>'[2]Invoeren'!D170</f>
        <v>0</v>
      </c>
      <c r="E177" s="348">
        <f>'[2]Invoeren'!E170</f>
        <v>0</v>
      </c>
      <c r="F177" s="348">
        <f>'[2]Invoeren'!$I170</f>
        <v>0</v>
      </c>
      <c r="G177" s="329">
        <f>'[2]Invoeren'!$H170</f>
        <v>0</v>
      </c>
      <c r="H177" s="327">
        <f>'[2]Invoeren'!L170</f>
        <v>0</v>
      </c>
      <c r="I177" s="328">
        <f>'[2]Invoeren'!M170</f>
        <v>0</v>
      </c>
      <c r="J177" s="329">
        <f>'[2]Invoeren'!N170</f>
        <v>0</v>
      </c>
      <c r="K177" s="330">
        <f>'[2]Invoeren'!$C170</f>
        <v>0</v>
      </c>
      <c r="L177" s="324">
        <f>'[2]Invoeren'!AI171</f>
        <v>0</v>
      </c>
      <c r="M177" s="324">
        <f>'[2]Invoeren'!BC171</f>
        <v>0</v>
      </c>
      <c r="N177" s="324">
        <f>'[2]Invoeren'!BW171</f>
        <v>0</v>
      </c>
      <c r="O177" s="324">
        <f>'[2]Invoeren'!CQ171</f>
        <v>0</v>
      </c>
    </row>
    <row r="178" spans="1:15" ht="12.75">
      <c r="A178" s="325">
        <f>'[2]Invoeren'!B172</f>
        <v>1</v>
      </c>
      <c r="B178" s="326">
        <f>'[2]Invoeren'!A171</f>
        <v>165</v>
      </c>
      <c r="C178" s="347">
        <f>'[2]Invoeren'!$G171</f>
        <v>0</v>
      </c>
      <c r="D178" s="348">
        <f>'[2]Invoeren'!D171</f>
        <v>0</v>
      </c>
      <c r="E178" s="348">
        <f>'[2]Invoeren'!E171</f>
        <v>0</v>
      </c>
      <c r="F178" s="348">
        <f>'[2]Invoeren'!$I171</f>
        <v>0</v>
      </c>
      <c r="G178" s="329">
        <f>'[2]Invoeren'!$H171</f>
        <v>0</v>
      </c>
      <c r="H178" s="327">
        <f>'[2]Invoeren'!L171</f>
        <v>0</v>
      </c>
      <c r="I178" s="328">
        <f>'[2]Invoeren'!M171</f>
        <v>0</v>
      </c>
      <c r="J178" s="329">
        <f>'[2]Invoeren'!N171</f>
        <v>0</v>
      </c>
      <c r="K178" s="330">
        <f>'[2]Invoeren'!$C171</f>
        <v>0</v>
      </c>
      <c r="L178" s="324">
        <f>'[2]Invoeren'!AI172</f>
        <v>0</v>
      </c>
      <c r="M178" s="324">
        <f>'[2]Invoeren'!BC172</f>
        <v>0</v>
      </c>
      <c r="N178" s="324">
        <f>'[2]Invoeren'!BW172</f>
        <v>0</v>
      </c>
      <c r="O178" s="324">
        <f>'[2]Invoeren'!CQ172</f>
        <v>0</v>
      </c>
    </row>
    <row r="179" spans="1:15" ht="12.75">
      <c r="A179" s="325">
        <f>'[2]Invoeren'!B173</f>
        <v>1</v>
      </c>
      <c r="B179" s="326">
        <f>'[2]Invoeren'!A172</f>
        <v>166</v>
      </c>
      <c r="C179" s="347">
        <f>'[2]Invoeren'!$G172</f>
        <v>0</v>
      </c>
      <c r="D179" s="348">
        <f>'[2]Invoeren'!D172</f>
        <v>0</v>
      </c>
      <c r="E179" s="348">
        <f>'[2]Invoeren'!E172</f>
        <v>0</v>
      </c>
      <c r="F179" s="348">
        <f>'[2]Invoeren'!$I172</f>
        <v>0</v>
      </c>
      <c r="G179" s="329">
        <f>'[2]Invoeren'!$H172</f>
        <v>0</v>
      </c>
      <c r="H179" s="327">
        <f>'[2]Invoeren'!L172</f>
        <v>0</v>
      </c>
      <c r="I179" s="328">
        <f>'[2]Invoeren'!M172</f>
        <v>0</v>
      </c>
      <c r="J179" s="329">
        <f>'[2]Invoeren'!N172</f>
        <v>0</v>
      </c>
      <c r="K179" s="330">
        <f>'[2]Invoeren'!$C172</f>
        <v>0</v>
      </c>
      <c r="L179" s="324">
        <f>'[2]Invoeren'!AI173</f>
        <v>0</v>
      </c>
      <c r="M179" s="324">
        <f>'[2]Invoeren'!BC173</f>
        <v>0</v>
      </c>
      <c r="N179" s="324">
        <f>'[2]Invoeren'!BW173</f>
        <v>0</v>
      </c>
      <c r="O179" s="324">
        <f>'[2]Invoeren'!CQ173</f>
        <v>0</v>
      </c>
    </row>
    <row r="180" spans="1:15" ht="12.75">
      <c r="A180" s="325">
        <f>'[2]Invoeren'!B174</f>
        <v>1</v>
      </c>
      <c r="B180" s="326">
        <f>'[2]Invoeren'!A173</f>
        <v>167</v>
      </c>
      <c r="C180" s="347">
        <f>'[2]Invoeren'!$G173</f>
        <v>0</v>
      </c>
      <c r="D180" s="348">
        <f>'[2]Invoeren'!D173</f>
        <v>0</v>
      </c>
      <c r="E180" s="348">
        <f>'[2]Invoeren'!E173</f>
        <v>0</v>
      </c>
      <c r="F180" s="348">
        <f>'[2]Invoeren'!$I173</f>
        <v>0</v>
      </c>
      <c r="G180" s="329">
        <f>'[2]Invoeren'!$H173</f>
        <v>0</v>
      </c>
      <c r="H180" s="327">
        <f>'[2]Invoeren'!L173</f>
        <v>0</v>
      </c>
      <c r="I180" s="328">
        <f>'[2]Invoeren'!M173</f>
        <v>0</v>
      </c>
      <c r="J180" s="329">
        <f>'[2]Invoeren'!N173</f>
        <v>0</v>
      </c>
      <c r="K180" s="330">
        <f>'[2]Invoeren'!$C173</f>
        <v>0</v>
      </c>
      <c r="L180" s="324">
        <f>'[2]Invoeren'!AI174</f>
        <v>0</v>
      </c>
      <c r="M180" s="324">
        <f>'[2]Invoeren'!BC174</f>
        <v>0</v>
      </c>
      <c r="N180" s="324">
        <f>'[2]Invoeren'!BW174</f>
        <v>0</v>
      </c>
      <c r="O180" s="324">
        <f>'[2]Invoeren'!CQ174</f>
        <v>0</v>
      </c>
    </row>
    <row r="181" spans="1:15" ht="12.75">
      <c r="A181" s="325">
        <f>'[2]Invoeren'!B175</f>
        <v>1</v>
      </c>
      <c r="B181" s="326">
        <f>'[2]Invoeren'!A174</f>
        <v>168</v>
      </c>
      <c r="C181" s="347">
        <f>'[2]Invoeren'!$G174</f>
        <v>0</v>
      </c>
      <c r="D181" s="348">
        <f>'[2]Invoeren'!D174</f>
        <v>0</v>
      </c>
      <c r="E181" s="348">
        <f>'[2]Invoeren'!E174</f>
        <v>0</v>
      </c>
      <c r="F181" s="348">
        <f>'[2]Invoeren'!$I174</f>
        <v>0</v>
      </c>
      <c r="G181" s="329">
        <f>'[2]Invoeren'!$H174</f>
        <v>0</v>
      </c>
      <c r="H181" s="327">
        <f>'[2]Invoeren'!L174</f>
        <v>0</v>
      </c>
      <c r="I181" s="328">
        <f>'[2]Invoeren'!M174</f>
        <v>0</v>
      </c>
      <c r="J181" s="329">
        <f>'[2]Invoeren'!N174</f>
        <v>0</v>
      </c>
      <c r="K181" s="330">
        <f>'[2]Invoeren'!$C174</f>
        <v>0</v>
      </c>
      <c r="L181" s="324">
        <f>'[2]Invoeren'!AI175</f>
        <v>0</v>
      </c>
      <c r="M181" s="324">
        <f>'[2]Invoeren'!BC175</f>
        <v>0</v>
      </c>
      <c r="N181" s="324">
        <f>'[2]Invoeren'!BW175</f>
        <v>0</v>
      </c>
      <c r="O181" s="324">
        <f>'[2]Invoeren'!CQ175</f>
        <v>0</v>
      </c>
    </row>
    <row r="182" spans="1:15" ht="12.75">
      <c r="A182" s="325">
        <f>'[2]Invoeren'!B176</f>
        <v>1</v>
      </c>
      <c r="B182" s="326">
        <f>'[2]Invoeren'!A175</f>
        <v>169</v>
      </c>
      <c r="C182" s="347">
        <f>'[2]Invoeren'!$G175</f>
        <v>0</v>
      </c>
      <c r="D182" s="348">
        <f>'[2]Invoeren'!D175</f>
        <v>0</v>
      </c>
      <c r="E182" s="348">
        <f>'[2]Invoeren'!E175</f>
        <v>0</v>
      </c>
      <c r="F182" s="348">
        <f>'[2]Invoeren'!$I175</f>
        <v>0</v>
      </c>
      <c r="G182" s="329">
        <f>'[2]Invoeren'!$H175</f>
        <v>0</v>
      </c>
      <c r="H182" s="327">
        <f>'[2]Invoeren'!L175</f>
        <v>0</v>
      </c>
      <c r="I182" s="328">
        <f>'[2]Invoeren'!M175</f>
        <v>0</v>
      </c>
      <c r="J182" s="329">
        <f>'[2]Invoeren'!N175</f>
        <v>0</v>
      </c>
      <c r="K182" s="330">
        <f>'[2]Invoeren'!$C175</f>
        <v>0</v>
      </c>
      <c r="L182" s="324">
        <f>'[2]Invoeren'!AI176</f>
        <v>0</v>
      </c>
      <c r="M182" s="324">
        <f>'[2]Invoeren'!BC176</f>
        <v>0</v>
      </c>
      <c r="N182" s="324">
        <f>'[2]Invoeren'!BW176</f>
        <v>0</v>
      </c>
      <c r="O182" s="324">
        <f>'[2]Invoeren'!CQ176</f>
        <v>0</v>
      </c>
    </row>
    <row r="183" spans="1:15" ht="12.75">
      <c r="A183" s="325">
        <f>'[2]Invoeren'!B177</f>
        <v>1</v>
      </c>
      <c r="B183" s="326">
        <f>'[2]Invoeren'!A176</f>
        <v>170</v>
      </c>
      <c r="C183" s="347">
        <f>'[2]Invoeren'!$G176</f>
        <v>0</v>
      </c>
      <c r="D183" s="348">
        <f>'[2]Invoeren'!D176</f>
        <v>0</v>
      </c>
      <c r="E183" s="348">
        <f>'[2]Invoeren'!E176</f>
        <v>0</v>
      </c>
      <c r="F183" s="348">
        <f>'[2]Invoeren'!$I176</f>
        <v>0</v>
      </c>
      <c r="G183" s="329">
        <f>'[2]Invoeren'!$H176</f>
        <v>0</v>
      </c>
      <c r="H183" s="327">
        <f>'[2]Invoeren'!L176</f>
        <v>0</v>
      </c>
      <c r="I183" s="328">
        <f>'[2]Invoeren'!M176</f>
        <v>0</v>
      </c>
      <c r="J183" s="329">
        <f>'[2]Invoeren'!N176</f>
        <v>0</v>
      </c>
      <c r="K183" s="330">
        <f>'[2]Invoeren'!$C176</f>
        <v>0</v>
      </c>
      <c r="L183" s="324">
        <f>'[2]Invoeren'!AI177</f>
        <v>0</v>
      </c>
      <c r="M183" s="324">
        <f>'[2]Invoeren'!BC177</f>
        <v>0</v>
      </c>
      <c r="N183" s="324">
        <f>'[2]Invoeren'!BW177</f>
        <v>0</v>
      </c>
      <c r="O183" s="324">
        <f>'[2]Invoeren'!CQ177</f>
        <v>0</v>
      </c>
    </row>
    <row r="184" spans="1:15" ht="12.75">
      <c r="A184" s="325">
        <f>'[2]Invoeren'!B178</f>
        <v>1</v>
      </c>
      <c r="B184" s="326">
        <f>'[2]Invoeren'!A177</f>
        <v>171</v>
      </c>
      <c r="C184" s="347">
        <f>'[2]Invoeren'!$G177</f>
        <v>0</v>
      </c>
      <c r="D184" s="348">
        <f>'[2]Invoeren'!D177</f>
        <v>0</v>
      </c>
      <c r="E184" s="348">
        <f>'[2]Invoeren'!E177</f>
        <v>0</v>
      </c>
      <c r="F184" s="348">
        <f>'[2]Invoeren'!$I177</f>
        <v>0</v>
      </c>
      <c r="G184" s="329">
        <f>'[2]Invoeren'!$H177</f>
        <v>0</v>
      </c>
      <c r="H184" s="327">
        <f>'[2]Invoeren'!L177</f>
        <v>0</v>
      </c>
      <c r="I184" s="328">
        <f>'[2]Invoeren'!M177</f>
        <v>0</v>
      </c>
      <c r="J184" s="329">
        <f>'[2]Invoeren'!N177</f>
        <v>0</v>
      </c>
      <c r="K184" s="330">
        <f>'[2]Invoeren'!$C177</f>
        <v>0</v>
      </c>
      <c r="L184" s="324">
        <f>'[2]Invoeren'!AI178</f>
        <v>0</v>
      </c>
      <c r="M184" s="324">
        <f>'[2]Invoeren'!BC178</f>
        <v>0</v>
      </c>
      <c r="N184" s="324">
        <f>'[2]Invoeren'!BW178</f>
        <v>0</v>
      </c>
      <c r="O184" s="324">
        <f>'[2]Invoeren'!CQ178</f>
        <v>0</v>
      </c>
    </row>
    <row r="185" spans="1:15" ht="12.75">
      <c r="A185" s="325">
        <f>'[2]Invoeren'!B179</f>
        <v>1</v>
      </c>
      <c r="B185" s="326">
        <f>'[2]Invoeren'!A178</f>
        <v>172</v>
      </c>
      <c r="C185" s="347">
        <f>'[2]Invoeren'!$G178</f>
        <v>0</v>
      </c>
      <c r="D185" s="348">
        <f>'[2]Invoeren'!D178</f>
        <v>0</v>
      </c>
      <c r="E185" s="348">
        <f>'[2]Invoeren'!E178</f>
        <v>0</v>
      </c>
      <c r="F185" s="348">
        <f>'[2]Invoeren'!$I178</f>
        <v>0</v>
      </c>
      <c r="G185" s="329">
        <f>'[2]Invoeren'!$H178</f>
        <v>0</v>
      </c>
      <c r="H185" s="327">
        <f>'[2]Invoeren'!L178</f>
        <v>0</v>
      </c>
      <c r="I185" s="328">
        <f>'[2]Invoeren'!M178</f>
        <v>0</v>
      </c>
      <c r="J185" s="329">
        <f>'[2]Invoeren'!N178</f>
        <v>0</v>
      </c>
      <c r="K185" s="330">
        <f>'[2]Invoeren'!$C178</f>
        <v>0</v>
      </c>
      <c r="L185" s="324">
        <f>'[2]Invoeren'!AI179</f>
        <v>0</v>
      </c>
      <c r="M185" s="324">
        <f>'[2]Invoeren'!BC179</f>
        <v>0</v>
      </c>
      <c r="N185" s="324">
        <f>'[2]Invoeren'!BW179</f>
        <v>0</v>
      </c>
      <c r="O185" s="324">
        <f>'[2]Invoeren'!CQ179</f>
        <v>0</v>
      </c>
    </row>
    <row r="186" spans="1:15" ht="12.75">
      <c r="A186" s="325">
        <f>'[2]Invoeren'!B180</f>
        <v>1</v>
      </c>
      <c r="B186" s="326">
        <f>'[2]Invoeren'!A179</f>
        <v>173</v>
      </c>
      <c r="C186" s="347">
        <f>'[2]Invoeren'!$G179</f>
        <v>0</v>
      </c>
      <c r="D186" s="348">
        <f>'[2]Invoeren'!D179</f>
        <v>0</v>
      </c>
      <c r="E186" s="348">
        <f>'[2]Invoeren'!E179</f>
        <v>0</v>
      </c>
      <c r="F186" s="348">
        <f>'[2]Invoeren'!$I179</f>
        <v>0</v>
      </c>
      <c r="G186" s="329">
        <f>'[2]Invoeren'!$H179</f>
        <v>0</v>
      </c>
      <c r="H186" s="327">
        <f>'[2]Invoeren'!L179</f>
        <v>0</v>
      </c>
      <c r="I186" s="328">
        <f>'[2]Invoeren'!M179</f>
        <v>0</v>
      </c>
      <c r="J186" s="329">
        <f>'[2]Invoeren'!N179</f>
        <v>0</v>
      </c>
      <c r="K186" s="330">
        <f>'[2]Invoeren'!$C179</f>
        <v>0</v>
      </c>
      <c r="L186" s="324">
        <f>'[2]Invoeren'!AI180</f>
        <v>0</v>
      </c>
      <c r="M186" s="324">
        <f>'[2]Invoeren'!BC180</f>
        <v>0</v>
      </c>
      <c r="N186" s="324">
        <f>'[2]Invoeren'!BW180</f>
        <v>0</v>
      </c>
      <c r="O186" s="324">
        <f>'[2]Invoeren'!CQ180</f>
        <v>0</v>
      </c>
    </row>
    <row r="187" spans="1:15" ht="12.75">
      <c r="A187" s="325">
        <f>'[2]Invoeren'!B181</f>
        <v>1</v>
      </c>
      <c r="B187" s="326">
        <f>'[2]Invoeren'!A180</f>
        <v>174</v>
      </c>
      <c r="C187" s="347">
        <f>'[2]Invoeren'!$G180</f>
        <v>0</v>
      </c>
      <c r="D187" s="348">
        <f>'[2]Invoeren'!D180</f>
        <v>0</v>
      </c>
      <c r="E187" s="348">
        <f>'[2]Invoeren'!E180</f>
        <v>0</v>
      </c>
      <c r="F187" s="348">
        <f>'[2]Invoeren'!$I180</f>
        <v>0</v>
      </c>
      <c r="G187" s="329">
        <f>'[2]Invoeren'!$H180</f>
        <v>0</v>
      </c>
      <c r="H187" s="327">
        <f>'[2]Invoeren'!L180</f>
        <v>0</v>
      </c>
      <c r="I187" s="328">
        <f>'[2]Invoeren'!M180</f>
        <v>0</v>
      </c>
      <c r="J187" s="329">
        <f>'[2]Invoeren'!N180</f>
        <v>0</v>
      </c>
      <c r="K187" s="330">
        <f>'[2]Invoeren'!$C180</f>
        <v>0</v>
      </c>
      <c r="L187" s="324">
        <f>'[2]Invoeren'!AI181</f>
        <v>0</v>
      </c>
      <c r="M187" s="324">
        <f>'[2]Invoeren'!BC181</f>
        <v>0</v>
      </c>
      <c r="N187" s="324">
        <f>'[2]Invoeren'!BW181</f>
        <v>0</v>
      </c>
      <c r="O187" s="324">
        <f>'[2]Invoeren'!CQ181</f>
        <v>0</v>
      </c>
    </row>
    <row r="188" spans="1:15" ht="12.75">
      <c r="A188" s="325">
        <f>'[2]Invoeren'!B182</f>
        <v>1</v>
      </c>
      <c r="B188" s="326">
        <f>'[2]Invoeren'!A181</f>
        <v>175</v>
      </c>
      <c r="C188" s="347">
        <f>'[2]Invoeren'!$G181</f>
        <v>0</v>
      </c>
      <c r="D188" s="348">
        <f>'[2]Invoeren'!D181</f>
        <v>0</v>
      </c>
      <c r="E188" s="348">
        <f>'[2]Invoeren'!E181</f>
        <v>0</v>
      </c>
      <c r="F188" s="348">
        <f>'[2]Invoeren'!$I181</f>
        <v>0</v>
      </c>
      <c r="G188" s="329">
        <f>'[2]Invoeren'!$H181</f>
        <v>0</v>
      </c>
      <c r="H188" s="327">
        <f>'[2]Invoeren'!L181</f>
        <v>0</v>
      </c>
      <c r="I188" s="328">
        <f>'[2]Invoeren'!M181</f>
        <v>0</v>
      </c>
      <c r="J188" s="329">
        <f>'[2]Invoeren'!N181</f>
        <v>0</v>
      </c>
      <c r="K188" s="330">
        <f>'[2]Invoeren'!$C181</f>
        <v>0</v>
      </c>
      <c r="L188" s="324">
        <f>'[2]Invoeren'!AI182</f>
        <v>0</v>
      </c>
      <c r="M188" s="324">
        <f>'[2]Invoeren'!BC182</f>
        <v>0</v>
      </c>
      <c r="N188" s="324">
        <f>'[2]Invoeren'!BW182</f>
        <v>0</v>
      </c>
      <c r="O188" s="324">
        <f>'[2]Invoeren'!CQ182</f>
        <v>0</v>
      </c>
    </row>
    <row r="189" spans="1:15" ht="12.75">
      <c r="A189" s="325">
        <f>'[2]Invoeren'!B183</f>
        <v>1</v>
      </c>
      <c r="B189" s="326">
        <f>'[2]Invoeren'!A182</f>
        <v>176</v>
      </c>
      <c r="C189" s="347">
        <f>'[2]Invoeren'!$G182</f>
        <v>0</v>
      </c>
      <c r="D189" s="348">
        <f>'[2]Invoeren'!D182</f>
        <v>0</v>
      </c>
      <c r="E189" s="348">
        <f>'[2]Invoeren'!E182</f>
        <v>0</v>
      </c>
      <c r="F189" s="348">
        <f>'[2]Invoeren'!$I182</f>
        <v>0</v>
      </c>
      <c r="G189" s="329">
        <f>'[2]Invoeren'!$H182</f>
        <v>0</v>
      </c>
      <c r="H189" s="327">
        <f>'[2]Invoeren'!L182</f>
        <v>0</v>
      </c>
      <c r="I189" s="328">
        <f>'[2]Invoeren'!M182</f>
        <v>0</v>
      </c>
      <c r="J189" s="329">
        <f>'[2]Invoeren'!N182</f>
        <v>0</v>
      </c>
      <c r="K189" s="330">
        <f>'[2]Invoeren'!$C182</f>
        <v>0</v>
      </c>
      <c r="L189" s="324">
        <f>'[2]Invoeren'!AI183</f>
        <v>0</v>
      </c>
      <c r="M189" s="324">
        <f>'[2]Invoeren'!BC183</f>
        <v>0</v>
      </c>
      <c r="N189" s="324">
        <f>'[2]Invoeren'!BW183</f>
        <v>0</v>
      </c>
      <c r="O189" s="324">
        <f>'[2]Invoeren'!CQ183</f>
        <v>0</v>
      </c>
    </row>
    <row r="190" spans="1:15" ht="12.75">
      <c r="A190" s="325">
        <f>'[2]Invoeren'!B184</f>
        <v>1</v>
      </c>
      <c r="B190" s="326">
        <f>'[2]Invoeren'!A183</f>
        <v>177</v>
      </c>
      <c r="C190" s="347">
        <f>'[2]Invoeren'!$G183</f>
        <v>0</v>
      </c>
      <c r="D190" s="348">
        <f>'[2]Invoeren'!D183</f>
        <v>0</v>
      </c>
      <c r="E190" s="348">
        <f>'[2]Invoeren'!E183</f>
        <v>0</v>
      </c>
      <c r="F190" s="348">
        <f>'[2]Invoeren'!$I183</f>
        <v>0</v>
      </c>
      <c r="G190" s="329">
        <f>'[2]Invoeren'!$H183</f>
        <v>0</v>
      </c>
      <c r="H190" s="327">
        <f>'[2]Invoeren'!L183</f>
        <v>0</v>
      </c>
      <c r="I190" s="328">
        <f>'[2]Invoeren'!M183</f>
        <v>0</v>
      </c>
      <c r="J190" s="329">
        <f>'[2]Invoeren'!N183</f>
        <v>0</v>
      </c>
      <c r="K190" s="330">
        <f>'[2]Invoeren'!$C183</f>
        <v>0</v>
      </c>
      <c r="L190" s="324">
        <f>'[2]Invoeren'!AI184</f>
        <v>0</v>
      </c>
      <c r="M190" s="324">
        <f>'[2]Invoeren'!BC184</f>
        <v>0</v>
      </c>
      <c r="N190" s="324">
        <f>'[2]Invoeren'!BW184</f>
        <v>0</v>
      </c>
      <c r="O190" s="324">
        <f>'[2]Invoeren'!CQ184</f>
        <v>0</v>
      </c>
    </row>
    <row r="191" spans="1:15" ht="12.75">
      <c r="A191" s="325">
        <f>'[2]Invoeren'!B185</f>
        <v>1</v>
      </c>
      <c r="B191" s="326">
        <f>'[2]Invoeren'!A184</f>
        <v>178</v>
      </c>
      <c r="C191" s="347">
        <f>'[2]Invoeren'!$G184</f>
        <v>0</v>
      </c>
      <c r="D191" s="348">
        <f>'[2]Invoeren'!D184</f>
        <v>0</v>
      </c>
      <c r="E191" s="348">
        <f>'[2]Invoeren'!E184</f>
        <v>0</v>
      </c>
      <c r="F191" s="348">
        <f>'[2]Invoeren'!$I184</f>
        <v>0</v>
      </c>
      <c r="G191" s="329">
        <f>'[2]Invoeren'!$H184</f>
        <v>0</v>
      </c>
      <c r="H191" s="327">
        <f>'[2]Invoeren'!L184</f>
        <v>0</v>
      </c>
      <c r="I191" s="328">
        <f>'[2]Invoeren'!M184</f>
        <v>0</v>
      </c>
      <c r="J191" s="329">
        <f>'[2]Invoeren'!N184</f>
        <v>0</v>
      </c>
      <c r="K191" s="330">
        <f>'[2]Invoeren'!$C184</f>
        <v>0</v>
      </c>
      <c r="L191" s="324">
        <f>'[2]Invoeren'!AI185</f>
        <v>0</v>
      </c>
      <c r="M191" s="324">
        <f>'[2]Invoeren'!BC185</f>
        <v>0</v>
      </c>
      <c r="N191" s="324">
        <f>'[2]Invoeren'!BW185</f>
        <v>0</v>
      </c>
      <c r="O191" s="324">
        <f>'[2]Invoeren'!CQ185</f>
        <v>0</v>
      </c>
    </row>
    <row r="192" spans="1:15" ht="12.75">
      <c r="A192" s="325">
        <f>'[2]Invoeren'!B186</f>
        <v>1</v>
      </c>
      <c r="B192" s="326">
        <f>'[2]Invoeren'!A185</f>
        <v>179</v>
      </c>
      <c r="C192" s="347">
        <f>'[2]Invoeren'!$G185</f>
        <v>0</v>
      </c>
      <c r="D192" s="348">
        <f>'[2]Invoeren'!D185</f>
        <v>0</v>
      </c>
      <c r="E192" s="348">
        <f>'[2]Invoeren'!E185</f>
        <v>0</v>
      </c>
      <c r="F192" s="348">
        <f>'[2]Invoeren'!$I185</f>
        <v>0</v>
      </c>
      <c r="G192" s="329">
        <f>'[2]Invoeren'!$H185</f>
        <v>0</v>
      </c>
      <c r="H192" s="327">
        <f>'[2]Invoeren'!L185</f>
        <v>0</v>
      </c>
      <c r="I192" s="328">
        <f>'[2]Invoeren'!M185</f>
        <v>0</v>
      </c>
      <c r="J192" s="329">
        <f>'[2]Invoeren'!N185</f>
        <v>0</v>
      </c>
      <c r="K192" s="330">
        <f>'[2]Invoeren'!$C185</f>
        <v>0</v>
      </c>
      <c r="L192" s="324">
        <f>'[2]Invoeren'!AI186</f>
        <v>0</v>
      </c>
      <c r="M192" s="324">
        <f>'[2]Invoeren'!BC186</f>
        <v>0</v>
      </c>
      <c r="N192" s="324">
        <f>'[2]Invoeren'!BW186</f>
        <v>0</v>
      </c>
      <c r="O192" s="324">
        <f>'[2]Invoeren'!CQ186</f>
        <v>0</v>
      </c>
    </row>
    <row r="193" spans="1:15" ht="12.75">
      <c r="A193" s="325">
        <f>'[2]Invoeren'!B187</f>
        <v>1</v>
      </c>
      <c r="B193" s="326">
        <f>'[2]Invoeren'!A186</f>
        <v>180</v>
      </c>
      <c r="C193" s="347">
        <f>'[2]Invoeren'!$G186</f>
        <v>0</v>
      </c>
      <c r="D193" s="348">
        <f>'[2]Invoeren'!D186</f>
        <v>0</v>
      </c>
      <c r="E193" s="348">
        <f>'[2]Invoeren'!E186</f>
        <v>0</v>
      </c>
      <c r="F193" s="348">
        <f>'[2]Invoeren'!$I186</f>
        <v>0</v>
      </c>
      <c r="G193" s="329">
        <f>'[2]Invoeren'!$H186</f>
        <v>0</v>
      </c>
      <c r="H193" s="327">
        <f>'[2]Invoeren'!L186</f>
        <v>0</v>
      </c>
      <c r="I193" s="328">
        <f>'[2]Invoeren'!M186</f>
        <v>0</v>
      </c>
      <c r="J193" s="329">
        <f>'[2]Invoeren'!N186</f>
        <v>0</v>
      </c>
      <c r="K193" s="330">
        <f>'[2]Invoeren'!$C186</f>
        <v>0</v>
      </c>
      <c r="L193" s="324">
        <f>'[2]Invoeren'!AI187</f>
        <v>0</v>
      </c>
      <c r="M193" s="324">
        <f>'[2]Invoeren'!BC187</f>
        <v>0</v>
      </c>
      <c r="N193" s="324">
        <f>'[2]Invoeren'!BW187</f>
        <v>0</v>
      </c>
      <c r="O193" s="324">
        <f>'[2]Invoeren'!CQ187</f>
        <v>0</v>
      </c>
    </row>
    <row r="194" spans="1:15" ht="12.75">
      <c r="A194" s="325">
        <f>'[2]Invoeren'!B188</f>
        <v>1</v>
      </c>
      <c r="B194" s="326">
        <f>'[2]Invoeren'!A187</f>
        <v>181</v>
      </c>
      <c r="C194" s="347">
        <f>'[2]Invoeren'!$G187</f>
        <v>0</v>
      </c>
      <c r="D194" s="348">
        <f>'[2]Invoeren'!D187</f>
        <v>0</v>
      </c>
      <c r="E194" s="348">
        <f>'[2]Invoeren'!E187</f>
        <v>0</v>
      </c>
      <c r="F194" s="348">
        <f>'[2]Invoeren'!$I187</f>
        <v>0</v>
      </c>
      <c r="G194" s="329">
        <f>'[2]Invoeren'!$H187</f>
        <v>0</v>
      </c>
      <c r="H194" s="327">
        <f>'[2]Invoeren'!L187</f>
        <v>0</v>
      </c>
      <c r="I194" s="328">
        <f>'[2]Invoeren'!M187</f>
        <v>0</v>
      </c>
      <c r="J194" s="329">
        <f>'[2]Invoeren'!N187</f>
        <v>0</v>
      </c>
      <c r="K194" s="330">
        <f>'[2]Invoeren'!$C187</f>
        <v>0</v>
      </c>
      <c r="L194" s="324">
        <f>'[2]Invoeren'!AI188</f>
        <v>0</v>
      </c>
      <c r="M194" s="324">
        <f>'[2]Invoeren'!BC188</f>
        <v>0</v>
      </c>
      <c r="N194" s="324">
        <f>'[2]Invoeren'!BW188</f>
        <v>0</v>
      </c>
      <c r="O194" s="324">
        <f>'[2]Invoeren'!CQ188</f>
        <v>0</v>
      </c>
    </row>
    <row r="195" spans="1:15" ht="12.75">
      <c r="A195" s="325">
        <f>'[2]Invoeren'!B189</f>
        <v>1</v>
      </c>
      <c r="B195" s="326">
        <f>'[2]Invoeren'!A188</f>
        <v>182</v>
      </c>
      <c r="C195" s="347">
        <f>'[2]Invoeren'!$G188</f>
        <v>0</v>
      </c>
      <c r="D195" s="348">
        <f>'[2]Invoeren'!D188</f>
        <v>0</v>
      </c>
      <c r="E195" s="348">
        <f>'[2]Invoeren'!E188</f>
        <v>0</v>
      </c>
      <c r="F195" s="348">
        <f>'[2]Invoeren'!$I188</f>
        <v>0</v>
      </c>
      <c r="G195" s="329">
        <f>'[2]Invoeren'!$H188</f>
        <v>0</v>
      </c>
      <c r="H195" s="327">
        <f>'[2]Invoeren'!L188</f>
        <v>0</v>
      </c>
      <c r="I195" s="328">
        <f>'[2]Invoeren'!M188</f>
        <v>0</v>
      </c>
      <c r="J195" s="329">
        <f>'[2]Invoeren'!N188</f>
        <v>0</v>
      </c>
      <c r="K195" s="330">
        <f>'[2]Invoeren'!$C188</f>
        <v>0</v>
      </c>
      <c r="L195" s="324">
        <f>'[2]Invoeren'!AI189</f>
        <v>0</v>
      </c>
      <c r="M195" s="324">
        <f>'[2]Invoeren'!BC189</f>
        <v>0</v>
      </c>
      <c r="N195" s="324">
        <f>'[2]Invoeren'!BW189</f>
        <v>0</v>
      </c>
      <c r="O195" s="324">
        <f>'[2]Invoeren'!CQ189</f>
        <v>0</v>
      </c>
    </row>
    <row r="196" spans="1:15" ht="12.75">
      <c r="A196" s="325">
        <f>'[2]Invoeren'!B190</f>
        <v>1</v>
      </c>
      <c r="B196" s="326">
        <f>'[2]Invoeren'!A189</f>
        <v>183</v>
      </c>
      <c r="C196" s="347">
        <f>'[2]Invoeren'!$G189</f>
        <v>0</v>
      </c>
      <c r="D196" s="348">
        <f>'[2]Invoeren'!D189</f>
        <v>0</v>
      </c>
      <c r="E196" s="348">
        <f>'[2]Invoeren'!E189</f>
        <v>0</v>
      </c>
      <c r="F196" s="348">
        <f>'[2]Invoeren'!$I189</f>
        <v>0</v>
      </c>
      <c r="G196" s="329">
        <f>'[2]Invoeren'!$H189</f>
        <v>0</v>
      </c>
      <c r="H196" s="327">
        <f>'[2]Invoeren'!L189</f>
        <v>0</v>
      </c>
      <c r="I196" s="328">
        <f>'[2]Invoeren'!M189</f>
        <v>0</v>
      </c>
      <c r="J196" s="329">
        <f>'[2]Invoeren'!N189</f>
        <v>0</v>
      </c>
      <c r="K196" s="330">
        <f>'[2]Invoeren'!$C189</f>
        <v>0</v>
      </c>
      <c r="L196" s="324">
        <f>'[2]Invoeren'!AI190</f>
        <v>0</v>
      </c>
      <c r="M196" s="324">
        <f>'[2]Invoeren'!BC190</f>
        <v>0</v>
      </c>
      <c r="N196" s="324">
        <f>'[2]Invoeren'!BW190</f>
        <v>0</v>
      </c>
      <c r="O196" s="324">
        <f>'[2]Invoeren'!CQ190</f>
        <v>0</v>
      </c>
    </row>
    <row r="197" spans="1:15" ht="12.75">
      <c r="A197" s="325">
        <f>'[2]Invoeren'!B191</f>
        <v>1</v>
      </c>
      <c r="B197" s="326">
        <f>'[2]Invoeren'!A190</f>
        <v>184</v>
      </c>
      <c r="C197" s="347">
        <f>'[2]Invoeren'!$G190</f>
        <v>0</v>
      </c>
      <c r="D197" s="348">
        <f>'[2]Invoeren'!D190</f>
        <v>0</v>
      </c>
      <c r="E197" s="348">
        <f>'[2]Invoeren'!E190</f>
        <v>0</v>
      </c>
      <c r="F197" s="348">
        <f>'[2]Invoeren'!$I190</f>
        <v>0</v>
      </c>
      <c r="G197" s="329">
        <f>'[2]Invoeren'!$H190</f>
        <v>0</v>
      </c>
      <c r="H197" s="327">
        <f>'[2]Invoeren'!L190</f>
        <v>0</v>
      </c>
      <c r="I197" s="328">
        <f>'[2]Invoeren'!M190</f>
        <v>0</v>
      </c>
      <c r="J197" s="329">
        <f>'[2]Invoeren'!N190</f>
        <v>0</v>
      </c>
      <c r="K197" s="330">
        <f>'[2]Invoeren'!$C190</f>
        <v>0</v>
      </c>
      <c r="L197" s="324">
        <f>'[2]Invoeren'!AI191</f>
        <v>0</v>
      </c>
      <c r="M197" s="324">
        <f>'[2]Invoeren'!BC191</f>
        <v>0</v>
      </c>
      <c r="N197" s="324">
        <f>'[2]Invoeren'!BW191</f>
        <v>0</v>
      </c>
      <c r="O197" s="324">
        <f>'[2]Invoeren'!CQ191</f>
        <v>0</v>
      </c>
    </row>
    <row r="198" spans="1:15" ht="12.75">
      <c r="A198" s="325">
        <f>'[2]Invoeren'!B192</f>
        <v>1</v>
      </c>
      <c r="B198" s="326">
        <f>'[2]Invoeren'!A191</f>
        <v>185</v>
      </c>
      <c r="C198" s="347">
        <f>'[2]Invoeren'!$G191</f>
        <v>0</v>
      </c>
      <c r="D198" s="348">
        <f>'[2]Invoeren'!D191</f>
        <v>0</v>
      </c>
      <c r="E198" s="348">
        <f>'[2]Invoeren'!E191</f>
        <v>0</v>
      </c>
      <c r="F198" s="348">
        <f>'[2]Invoeren'!$I191</f>
        <v>0</v>
      </c>
      <c r="G198" s="329">
        <f>'[2]Invoeren'!$H191</f>
        <v>0</v>
      </c>
      <c r="H198" s="327">
        <f>'[2]Invoeren'!L191</f>
        <v>0</v>
      </c>
      <c r="I198" s="328">
        <f>'[2]Invoeren'!M191</f>
        <v>0</v>
      </c>
      <c r="J198" s="329">
        <f>'[2]Invoeren'!N191</f>
        <v>0</v>
      </c>
      <c r="K198" s="330">
        <f>'[2]Invoeren'!$C191</f>
        <v>0</v>
      </c>
      <c r="L198" s="324">
        <f>'[2]Invoeren'!AI192</f>
        <v>0</v>
      </c>
      <c r="M198" s="324">
        <f>'[2]Invoeren'!BC192</f>
        <v>0</v>
      </c>
      <c r="N198" s="324">
        <f>'[2]Invoeren'!BW192</f>
        <v>0</v>
      </c>
      <c r="O198" s="324">
        <f>'[2]Invoeren'!CQ192</f>
        <v>0</v>
      </c>
    </row>
    <row r="199" spans="1:15" ht="12.75">
      <c r="A199" s="325">
        <f>'[2]Invoeren'!B193</f>
        <v>1</v>
      </c>
      <c r="B199" s="326">
        <f>'[2]Invoeren'!A192</f>
        <v>186</v>
      </c>
      <c r="C199" s="347">
        <f>'[2]Invoeren'!$G192</f>
        <v>0</v>
      </c>
      <c r="D199" s="348">
        <f>'[2]Invoeren'!D192</f>
        <v>0</v>
      </c>
      <c r="E199" s="348">
        <f>'[2]Invoeren'!E192</f>
        <v>0</v>
      </c>
      <c r="F199" s="348">
        <f>'[2]Invoeren'!$I192</f>
        <v>0</v>
      </c>
      <c r="G199" s="329">
        <f>'[2]Invoeren'!$H192</f>
        <v>0</v>
      </c>
      <c r="H199" s="327">
        <f>'[2]Invoeren'!L192</f>
        <v>0</v>
      </c>
      <c r="I199" s="328">
        <f>'[2]Invoeren'!M192</f>
        <v>0</v>
      </c>
      <c r="J199" s="329">
        <f>'[2]Invoeren'!N192</f>
        <v>0</v>
      </c>
      <c r="K199" s="330">
        <f>'[2]Invoeren'!$C192</f>
        <v>0</v>
      </c>
      <c r="L199" s="324">
        <f>'[2]Invoeren'!AI193</f>
        <v>0</v>
      </c>
      <c r="M199" s="324">
        <f>'[2]Invoeren'!BC193</f>
        <v>0</v>
      </c>
      <c r="N199" s="324">
        <f>'[2]Invoeren'!BW193</f>
        <v>0</v>
      </c>
      <c r="O199" s="324">
        <f>'[2]Invoeren'!CQ193</f>
        <v>0</v>
      </c>
    </row>
    <row r="200" spans="1:15" ht="12.75">
      <c r="A200" s="325">
        <f>'[2]Invoeren'!B194</f>
        <v>1</v>
      </c>
      <c r="B200" s="326">
        <f>'[2]Invoeren'!A193</f>
        <v>187</v>
      </c>
      <c r="C200" s="347">
        <f>'[2]Invoeren'!$G193</f>
        <v>0</v>
      </c>
      <c r="D200" s="348">
        <f>'[2]Invoeren'!D193</f>
        <v>0</v>
      </c>
      <c r="E200" s="348">
        <f>'[2]Invoeren'!E193</f>
        <v>0</v>
      </c>
      <c r="F200" s="348">
        <f>'[2]Invoeren'!$I193</f>
        <v>0</v>
      </c>
      <c r="G200" s="329">
        <f>'[2]Invoeren'!$H193</f>
        <v>0</v>
      </c>
      <c r="H200" s="327">
        <f>'[2]Invoeren'!L193</f>
        <v>0</v>
      </c>
      <c r="I200" s="328">
        <f>'[2]Invoeren'!M193</f>
        <v>0</v>
      </c>
      <c r="J200" s="329">
        <f>'[2]Invoeren'!N193</f>
        <v>0</v>
      </c>
      <c r="K200" s="330">
        <f>'[2]Invoeren'!$C193</f>
        <v>0</v>
      </c>
      <c r="L200" s="324">
        <f>'[2]Invoeren'!AI194</f>
        <v>0</v>
      </c>
      <c r="M200" s="324">
        <f>'[2]Invoeren'!BC194</f>
        <v>0</v>
      </c>
      <c r="N200" s="324">
        <f>'[2]Invoeren'!BW194</f>
        <v>0</v>
      </c>
      <c r="O200" s="324">
        <f>'[2]Invoeren'!CQ194</f>
        <v>0</v>
      </c>
    </row>
    <row r="201" spans="1:15" ht="12.75">
      <c r="A201" s="325">
        <f>'[2]Invoeren'!B195</f>
        <v>1</v>
      </c>
      <c r="B201" s="326">
        <f>'[2]Invoeren'!A194</f>
        <v>188</v>
      </c>
      <c r="C201" s="347">
        <f>'[2]Invoeren'!$G194</f>
        <v>0</v>
      </c>
      <c r="D201" s="348">
        <f>'[2]Invoeren'!D194</f>
        <v>0</v>
      </c>
      <c r="E201" s="348">
        <f>'[2]Invoeren'!E194</f>
        <v>0</v>
      </c>
      <c r="F201" s="348">
        <f>'[2]Invoeren'!$I194</f>
        <v>0</v>
      </c>
      <c r="G201" s="329">
        <f>'[2]Invoeren'!$H194</f>
        <v>0</v>
      </c>
      <c r="H201" s="327">
        <f>'[2]Invoeren'!L194</f>
        <v>0</v>
      </c>
      <c r="I201" s="328">
        <f>'[2]Invoeren'!M194</f>
        <v>0</v>
      </c>
      <c r="J201" s="329">
        <f>'[2]Invoeren'!N194</f>
        <v>0</v>
      </c>
      <c r="K201" s="330">
        <f>'[2]Invoeren'!$C194</f>
        <v>0</v>
      </c>
      <c r="L201" s="324">
        <f>'[2]Invoeren'!AI195</f>
        <v>0</v>
      </c>
      <c r="M201" s="324">
        <f>'[2]Invoeren'!BC195</f>
        <v>0</v>
      </c>
      <c r="N201" s="324">
        <f>'[2]Invoeren'!BW195</f>
        <v>0</v>
      </c>
      <c r="O201" s="324">
        <f>'[2]Invoeren'!CQ195</f>
        <v>0</v>
      </c>
    </row>
    <row r="202" spans="1:15" ht="12.75">
      <c r="A202" s="325">
        <f>'[2]Invoeren'!B196</f>
        <v>1</v>
      </c>
      <c r="B202" s="326">
        <f>'[2]Invoeren'!A195</f>
        <v>189</v>
      </c>
      <c r="C202" s="347">
        <f>'[2]Invoeren'!$G195</f>
        <v>0</v>
      </c>
      <c r="D202" s="348">
        <f>'[2]Invoeren'!D195</f>
        <v>0</v>
      </c>
      <c r="E202" s="348">
        <f>'[2]Invoeren'!E195</f>
        <v>0</v>
      </c>
      <c r="F202" s="348">
        <f>'[2]Invoeren'!$I195</f>
        <v>0</v>
      </c>
      <c r="G202" s="329">
        <f>'[2]Invoeren'!$H195</f>
        <v>0</v>
      </c>
      <c r="H202" s="327">
        <f>'[2]Invoeren'!L195</f>
        <v>0</v>
      </c>
      <c r="I202" s="328">
        <f>'[2]Invoeren'!M195</f>
        <v>0</v>
      </c>
      <c r="J202" s="329">
        <f>'[2]Invoeren'!N195</f>
        <v>0</v>
      </c>
      <c r="K202" s="330">
        <f>'[2]Invoeren'!$C195</f>
        <v>0</v>
      </c>
      <c r="L202" s="324">
        <f>'[2]Invoeren'!AI196</f>
        <v>0</v>
      </c>
      <c r="M202" s="324">
        <f>'[2]Invoeren'!BC196</f>
        <v>0</v>
      </c>
      <c r="N202" s="324">
        <f>'[2]Invoeren'!BW196</f>
        <v>0</v>
      </c>
      <c r="O202" s="324">
        <f>'[2]Invoeren'!CQ196</f>
        <v>0</v>
      </c>
    </row>
    <row r="203" spans="1:15" ht="12.75">
      <c r="A203" s="325">
        <f>'[2]Invoeren'!B197</f>
        <v>1</v>
      </c>
      <c r="B203" s="326">
        <f>'[2]Invoeren'!A196</f>
        <v>190</v>
      </c>
      <c r="C203" s="347">
        <f>'[2]Invoeren'!$G196</f>
        <v>0</v>
      </c>
      <c r="D203" s="348">
        <f>'[2]Invoeren'!D196</f>
        <v>0</v>
      </c>
      <c r="E203" s="348">
        <f>'[2]Invoeren'!E196</f>
        <v>0</v>
      </c>
      <c r="F203" s="348">
        <f>'[2]Invoeren'!$I196</f>
        <v>0</v>
      </c>
      <c r="G203" s="329">
        <f>'[2]Invoeren'!$H196</f>
        <v>0</v>
      </c>
      <c r="H203" s="327">
        <f>'[2]Invoeren'!L196</f>
        <v>0</v>
      </c>
      <c r="I203" s="328">
        <f>'[2]Invoeren'!M196</f>
        <v>0</v>
      </c>
      <c r="J203" s="329">
        <f>'[2]Invoeren'!N196</f>
        <v>0</v>
      </c>
      <c r="K203" s="330">
        <f>'[2]Invoeren'!$C196</f>
        <v>0</v>
      </c>
      <c r="L203" s="324">
        <f>'[2]Invoeren'!AI197</f>
        <v>0</v>
      </c>
      <c r="M203" s="324">
        <f>'[2]Invoeren'!BC197</f>
        <v>0</v>
      </c>
      <c r="N203" s="324">
        <f>'[2]Invoeren'!BW197</f>
        <v>0</v>
      </c>
      <c r="O203" s="324">
        <f>'[2]Invoeren'!CQ197</f>
        <v>0</v>
      </c>
    </row>
    <row r="204" spans="1:15" ht="12.75">
      <c r="A204" s="325">
        <f>'[2]Invoeren'!B198</f>
        <v>1</v>
      </c>
      <c r="B204" s="326">
        <f>'[2]Invoeren'!A197</f>
        <v>191</v>
      </c>
      <c r="C204" s="347">
        <f>'[2]Invoeren'!$G197</f>
        <v>0</v>
      </c>
      <c r="D204" s="348">
        <f>'[2]Invoeren'!D197</f>
        <v>0</v>
      </c>
      <c r="E204" s="348">
        <f>'[2]Invoeren'!E197</f>
        <v>0</v>
      </c>
      <c r="F204" s="348">
        <f>'[2]Invoeren'!$I197</f>
        <v>0</v>
      </c>
      <c r="G204" s="329">
        <f>'[2]Invoeren'!$H197</f>
        <v>0</v>
      </c>
      <c r="H204" s="327">
        <f>'[2]Invoeren'!L197</f>
        <v>0</v>
      </c>
      <c r="I204" s="328">
        <f>'[2]Invoeren'!M197</f>
        <v>0</v>
      </c>
      <c r="J204" s="329">
        <f>'[2]Invoeren'!N197</f>
        <v>0</v>
      </c>
      <c r="K204" s="330">
        <f>'[2]Invoeren'!$C197</f>
        <v>0</v>
      </c>
      <c r="L204" s="324">
        <f>'[2]Invoeren'!AI198</f>
        <v>0</v>
      </c>
      <c r="M204" s="324">
        <f>'[2]Invoeren'!BC198</f>
        <v>0</v>
      </c>
      <c r="N204" s="324">
        <f>'[2]Invoeren'!BW198</f>
        <v>0</v>
      </c>
      <c r="O204" s="324">
        <f>'[2]Invoeren'!CQ198</f>
        <v>0</v>
      </c>
    </row>
    <row r="205" spans="1:15" ht="12.75">
      <c r="A205" s="325">
        <f>'[2]Invoeren'!B199</f>
        <v>1</v>
      </c>
      <c r="B205" s="326">
        <f>'[2]Invoeren'!A198</f>
        <v>192</v>
      </c>
      <c r="C205" s="347">
        <f>'[2]Invoeren'!$G198</f>
        <v>0</v>
      </c>
      <c r="D205" s="348">
        <f>'[2]Invoeren'!D198</f>
        <v>0</v>
      </c>
      <c r="E205" s="348">
        <f>'[2]Invoeren'!E198</f>
        <v>0</v>
      </c>
      <c r="F205" s="348">
        <f>'[2]Invoeren'!$I198</f>
        <v>0</v>
      </c>
      <c r="G205" s="329">
        <f>'[2]Invoeren'!$H198</f>
        <v>0</v>
      </c>
      <c r="H205" s="327">
        <f>'[2]Invoeren'!L198</f>
        <v>0</v>
      </c>
      <c r="I205" s="328">
        <f>'[2]Invoeren'!M198</f>
        <v>0</v>
      </c>
      <c r="J205" s="329">
        <f>'[2]Invoeren'!N198</f>
        <v>0</v>
      </c>
      <c r="K205" s="330">
        <f>'[2]Invoeren'!$C198</f>
        <v>0</v>
      </c>
      <c r="L205" s="324">
        <f>'[2]Invoeren'!AI199</f>
        <v>0</v>
      </c>
      <c r="M205" s="324">
        <f>'[2]Invoeren'!BC199</f>
        <v>0</v>
      </c>
      <c r="N205" s="324">
        <f>'[2]Invoeren'!BW199</f>
        <v>0</v>
      </c>
      <c r="O205" s="324">
        <f>'[2]Invoeren'!CQ199</f>
        <v>0</v>
      </c>
    </row>
    <row r="206" spans="1:15" ht="12.75">
      <c r="A206" s="325">
        <f>'[2]Invoeren'!B200</f>
        <v>1</v>
      </c>
      <c r="B206" s="326">
        <f>'[2]Invoeren'!A199</f>
        <v>193</v>
      </c>
      <c r="C206" s="347">
        <f>'[2]Invoeren'!$G199</f>
        <v>0</v>
      </c>
      <c r="D206" s="348">
        <f>'[2]Invoeren'!D199</f>
        <v>0</v>
      </c>
      <c r="E206" s="348">
        <f>'[2]Invoeren'!E199</f>
        <v>0</v>
      </c>
      <c r="F206" s="348">
        <f>'[2]Invoeren'!$I199</f>
        <v>0</v>
      </c>
      <c r="G206" s="329">
        <f>'[2]Invoeren'!$H199</f>
        <v>0</v>
      </c>
      <c r="H206" s="327">
        <f>'[2]Invoeren'!L199</f>
        <v>0</v>
      </c>
      <c r="I206" s="328">
        <f>'[2]Invoeren'!M199</f>
        <v>0</v>
      </c>
      <c r="J206" s="329">
        <f>'[2]Invoeren'!N199</f>
        <v>0</v>
      </c>
      <c r="K206" s="330">
        <f>'[2]Invoeren'!$C199</f>
        <v>0</v>
      </c>
      <c r="L206" s="324">
        <f>'[2]Invoeren'!AI200</f>
        <v>0</v>
      </c>
      <c r="M206" s="324">
        <f>'[2]Invoeren'!BC200</f>
        <v>0</v>
      </c>
      <c r="N206" s="324">
        <f>'[2]Invoeren'!BW200</f>
        <v>0</v>
      </c>
      <c r="O206" s="324">
        <f>'[2]Invoeren'!CQ200</f>
        <v>0</v>
      </c>
    </row>
    <row r="207" spans="1:15" ht="12.75">
      <c r="A207" s="325">
        <f>'[2]Invoeren'!B201</f>
        <v>1</v>
      </c>
      <c r="B207" s="326">
        <f>'[2]Invoeren'!A200</f>
        <v>194</v>
      </c>
      <c r="C207" s="347">
        <f>'[2]Invoeren'!$G200</f>
        <v>0</v>
      </c>
      <c r="D207" s="348">
        <f>'[2]Invoeren'!D200</f>
        <v>0</v>
      </c>
      <c r="E207" s="348">
        <f>'[2]Invoeren'!E200</f>
        <v>0</v>
      </c>
      <c r="F207" s="348">
        <f>'[2]Invoeren'!$I200</f>
        <v>0</v>
      </c>
      <c r="G207" s="329">
        <f>'[2]Invoeren'!$H200</f>
        <v>0</v>
      </c>
      <c r="H207" s="327">
        <f>'[2]Invoeren'!L200</f>
        <v>0</v>
      </c>
      <c r="I207" s="328">
        <f>'[2]Invoeren'!M200</f>
        <v>0</v>
      </c>
      <c r="J207" s="329">
        <f>'[2]Invoeren'!N200</f>
        <v>0</v>
      </c>
      <c r="K207" s="330">
        <f>'[2]Invoeren'!$C200</f>
        <v>0</v>
      </c>
      <c r="L207" s="324">
        <f>'[2]Invoeren'!AI201</f>
        <v>0</v>
      </c>
      <c r="M207" s="324">
        <f>'[2]Invoeren'!BC201</f>
        <v>0</v>
      </c>
      <c r="N207" s="324">
        <f>'[2]Invoeren'!BW201</f>
        <v>0</v>
      </c>
      <c r="O207" s="324">
        <f>'[2]Invoeren'!CQ201</f>
        <v>0</v>
      </c>
    </row>
    <row r="208" spans="1:15" ht="12.75">
      <c r="A208" s="325">
        <f>'[2]Invoeren'!B202</f>
        <v>1</v>
      </c>
      <c r="B208" s="326">
        <f>'[2]Invoeren'!A201</f>
        <v>195</v>
      </c>
      <c r="C208" s="347">
        <f>'[2]Invoeren'!$G201</f>
        <v>0</v>
      </c>
      <c r="D208" s="348">
        <f>'[2]Invoeren'!D201</f>
        <v>0</v>
      </c>
      <c r="E208" s="348">
        <f>'[2]Invoeren'!E201</f>
        <v>0</v>
      </c>
      <c r="F208" s="348">
        <f>'[2]Invoeren'!$I201</f>
        <v>0</v>
      </c>
      <c r="G208" s="329">
        <f>'[2]Invoeren'!$H201</f>
        <v>0</v>
      </c>
      <c r="H208" s="327">
        <f>'[2]Invoeren'!L201</f>
        <v>0</v>
      </c>
      <c r="I208" s="328">
        <f>'[2]Invoeren'!M201</f>
        <v>0</v>
      </c>
      <c r="J208" s="329">
        <f>'[2]Invoeren'!N201</f>
        <v>0</v>
      </c>
      <c r="K208" s="330">
        <f>'[2]Invoeren'!$C201</f>
        <v>0</v>
      </c>
      <c r="L208" s="324">
        <f>'[2]Invoeren'!AI202</f>
        <v>0</v>
      </c>
      <c r="M208" s="324">
        <f>'[2]Invoeren'!BC202</f>
        <v>0</v>
      </c>
      <c r="N208" s="324">
        <f>'[2]Invoeren'!BW202</f>
        <v>0</v>
      </c>
      <c r="O208" s="324">
        <f>'[2]Invoeren'!CQ202</f>
        <v>0</v>
      </c>
    </row>
    <row r="209" spans="1:15" ht="12.75">
      <c r="A209" s="325">
        <f>'[2]Invoeren'!B203</f>
        <v>1</v>
      </c>
      <c r="B209" s="326">
        <f>'[2]Invoeren'!A202</f>
        <v>196</v>
      </c>
      <c r="C209" s="347">
        <f>'[2]Invoeren'!$G202</f>
        <v>0</v>
      </c>
      <c r="D209" s="348">
        <f>'[2]Invoeren'!D202</f>
        <v>0</v>
      </c>
      <c r="E209" s="348">
        <f>'[2]Invoeren'!E202</f>
        <v>0</v>
      </c>
      <c r="F209" s="348">
        <f>'[2]Invoeren'!$I202</f>
        <v>0</v>
      </c>
      <c r="G209" s="329">
        <f>'[2]Invoeren'!$H202</f>
        <v>0</v>
      </c>
      <c r="H209" s="327">
        <f>'[2]Invoeren'!L202</f>
        <v>0</v>
      </c>
      <c r="I209" s="328">
        <f>'[2]Invoeren'!M202</f>
        <v>0</v>
      </c>
      <c r="J209" s="329">
        <f>'[2]Invoeren'!N202</f>
        <v>0</v>
      </c>
      <c r="K209" s="330">
        <f>'[2]Invoeren'!$C202</f>
        <v>0</v>
      </c>
      <c r="L209" s="324">
        <f>'[2]Invoeren'!AI203</f>
        <v>0</v>
      </c>
      <c r="M209" s="324">
        <f>'[2]Invoeren'!BC203</f>
        <v>0</v>
      </c>
      <c r="N209" s="324">
        <f>'[2]Invoeren'!BW203</f>
        <v>0</v>
      </c>
      <c r="O209" s="324">
        <f>'[2]Invoeren'!CQ203</f>
        <v>0</v>
      </c>
    </row>
    <row r="210" spans="1:15" ht="12.75">
      <c r="A210" s="325">
        <f>'[2]Invoeren'!B204</f>
        <v>1</v>
      </c>
      <c r="B210" s="326">
        <f>'[2]Invoeren'!A203</f>
        <v>197</v>
      </c>
      <c r="C210" s="347">
        <f>'[2]Invoeren'!$G203</f>
        <v>0</v>
      </c>
      <c r="D210" s="348">
        <f>'[2]Invoeren'!D203</f>
        <v>0</v>
      </c>
      <c r="E210" s="348">
        <f>'[2]Invoeren'!E203</f>
        <v>0</v>
      </c>
      <c r="F210" s="348">
        <f>'[2]Invoeren'!$I203</f>
        <v>0</v>
      </c>
      <c r="G210" s="329">
        <f>'[2]Invoeren'!$H203</f>
        <v>0</v>
      </c>
      <c r="H210" s="327">
        <f>'[2]Invoeren'!L203</f>
        <v>0</v>
      </c>
      <c r="I210" s="328">
        <f>'[2]Invoeren'!M203</f>
        <v>0</v>
      </c>
      <c r="J210" s="329">
        <f>'[2]Invoeren'!N203</f>
        <v>0</v>
      </c>
      <c r="K210" s="330">
        <f>'[2]Invoeren'!$C203</f>
        <v>0</v>
      </c>
      <c r="L210" s="324">
        <f>'[2]Invoeren'!AI204</f>
        <v>0</v>
      </c>
      <c r="M210" s="324">
        <f>'[2]Invoeren'!BC204</f>
        <v>0</v>
      </c>
      <c r="N210" s="324">
        <f>'[2]Invoeren'!BW204</f>
        <v>0</v>
      </c>
      <c r="O210" s="324">
        <f>'[2]Invoeren'!CQ204</f>
        <v>0</v>
      </c>
    </row>
    <row r="211" spans="1:15" ht="12.75">
      <c r="A211" s="325">
        <f>'[2]Invoeren'!B205</f>
        <v>1</v>
      </c>
      <c r="B211" s="326">
        <f>'[2]Invoeren'!A204</f>
        <v>198</v>
      </c>
      <c r="C211" s="347">
        <f>'[2]Invoeren'!$G204</f>
        <v>0</v>
      </c>
      <c r="D211" s="348">
        <f>'[2]Invoeren'!D204</f>
        <v>0</v>
      </c>
      <c r="E211" s="348">
        <f>'[2]Invoeren'!E204</f>
        <v>0</v>
      </c>
      <c r="F211" s="348">
        <f>'[2]Invoeren'!$I204</f>
        <v>0</v>
      </c>
      <c r="G211" s="329">
        <f>'[2]Invoeren'!$H204</f>
        <v>0</v>
      </c>
      <c r="H211" s="327">
        <f>'[2]Invoeren'!L204</f>
        <v>0</v>
      </c>
      <c r="I211" s="328">
        <f>'[2]Invoeren'!M204</f>
        <v>0</v>
      </c>
      <c r="J211" s="329">
        <f>'[2]Invoeren'!N204</f>
        <v>0</v>
      </c>
      <c r="K211" s="330">
        <f>'[2]Invoeren'!$C204</f>
        <v>0</v>
      </c>
      <c r="L211" s="324">
        <f>'[2]Invoeren'!AI205</f>
        <v>0</v>
      </c>
      <c r="M211" s="324">
        <f>'[2]Invoeren'!BC205</f>
        <v>0</v>
      </c>
      <c r="N211" s="324">
        <f>'[2]Invoeren'!BW205</f>
        <v>0</v>
      </c>
      <c r="O211" s="324">
        <f>'[2]Invoeren'!CQ205</f>
        <v>0</v>
      </c>
    </row>
    <row r="212" spans="1:15" ht="12.75">
      <c r="A212" s="325">
        <f>'[2]Invoeren'!B206</f>
        <v>1</v>
      </c>
      <c r="B212" s="326">
        <f>'[2]Invoeren'!A205</f>
        <v>199</v>
      </c>
      <c r="C212" s="347">
        <f>'[2]Invoeren'!$G205</f>
        <v>0</v>
      </c>
      <c r="D212" s="348">
        <f>'[2]Invoeren'!D205</f>
        <v>0</v>
      </c>
      <c r="E212" s="348">
        <f>'[2]Invoeren'!E205</f>
        <v>0</v>
      </c>
      <c r="F212" s="348">
        <f>'[2]Invoeren'!$I205</f>
        <v>0</v>
      </c>
      <c r="G212" s="329">
        <f>'[2]Invoeren'!$H205</f>
        <v>0</v>
      </c>
      <c r="H212" s="327">
        <f>'[2]Invoeren'!L205</f>
        <v>0</v>
      </c>
      <c r="I212" s="328">
        <f>'[2]Invoeren'!M205</f>
        <v>0</v>
      </c>
      <c r="J212" s="329">
        <f>'[2]Invoeren'!N205</f>
        <v>0</v>
      </c>
      <c r="K212" s="330">
        <f>'[2]Invoeren'!$C205</f>
        <v>0</v>
      </c>
      <c r="L212" s="324">
        <f>'[2]Invoeren'!AI206</f>
        <v>0</v>
      </c>
      <c r="M212" s="324">
        <f>'[2]Invoeren'!BC206</f>
        <v>0</v>
      </c>
      <c r="N212" s="324">
        <f>'[2]Invoeren'!BW206</f>
        <v>0</v>
      </c>
      <c r="O212" s="324">
        <f>'[2]Invoeren'!CQ206</f>
        <v>0</v>
      </c>
    </row>
    <row r="213" spans="1:15" ht="12.75">
      <c r="A213" s="325">
        <f>'[2]Invoeren'!B207</f>
        <v>1</v>
      </c>
      <c r="B213" s="326">
        <f>'[2]Invoeren'!A206</f>
        <v>200</v>
      </c>
      <c r="C213" s="347">
        <f>'[2]Invoeren'!$G206</f>
        <v>0</v>
      </c>
      <c r="D213" s="348">
        <f>'[2]Invoeren'!D206</f>
        <v>0</v>
      </c>
      <c r="E213" s="348">
        <f>'[2]Invoeren'!E206</f>
        <v>0</v>
      </c>
      <c r="F213" s="348">
        <f>'[2]Invoeren'!$I206</f>
        <v>0</v>
      </c>
      <c r="G213" s="329">
        <f>'[2]Invoeren'!$H206</f>
        <v>0</v>
      </c>
      <c r="H213" s="327">
        <f>'[2]Invoeren'!L206</f>
        <v>0</v>
      </c>
      <c r="I213" s="328">
        <f>'[2]Invoeren'!M206</f>
        <v>0</v>
      </c>
      <c r="J213" s="329">
        <f>'[2]Invoeren'!N206</f>
        <v>0</v>
      </c>
      <c r="K213" s="330">
        <f>'[2]Invoeren'!$C206</f>
        <v>0</v>
      </c>
      <c r="L213" s="324">
        <f>'[2]Invoeren'!AI207</f>
        <v>0</v>
      </c>
      <c r="M213" s="324">
        <f>'[2]Invoeren'!BC207</f>
        <v>0</v>
      </c>
      <c r="N213" s="324">
        <f>'[2]Invoeren'!BW207</f>
        <v>0</v>
      </c>
      <c r="O213" s="324">
        <f>'[2]Invoeren'!CQ207</f>
        <v>0</v>
      </c>
    </row>
    <row r="214" spans="1:15" ht="12.75">
      <c r="A214" s="325">
        <f>'[2]Invoeren'!B208</f>
        <v>1</v>
      </c>
      <c r="B214" s="326">
        <f>'[2]Invoeren'!A207</f>
        <v>201</v>
      </c>
      <c r="C214" s="347">
        <f>'[2]Invoeren'!$G207</f>
        <v>0</v>
      </c>
      <c r="D214" s="348">
        <f>'[2]Invoeren'!D207</f>
        <v>0</v>
      </c>
      <c r="E214" s="348">
        <f>'[2]Invoeren'!E207</f>
        <v>0</v>
      </c>
      <c r="F214" s="348">
        <f>'[2]Invoeren'!$I207</f>
        <v>0</v>
      </c>
      <c r="G214" s="329">
        <f>'[2]Invoeren'!$H207</f>
        <v>0</v>
      </c>
      <c r="H214" s="327">
        <f>'[2]Invoeren'!L207</f>
        <v>0</v>
      </c>
      <c r="I214" s="328">
        <f>'[2]Invoeren'!M207</f>
        <v>0</v>
      </c>
      <c r="J214" s="329">
        <f>'[2]Invoeren'!N207</f>
        <v>0</v>
      </c>
      <c r="K214" s="330">
        <f>'[2]Invoeren'!$C207</f>
        <v>0</v>
      </c>
      <c r="L214" s="324">
        <f>'[2]Invoeren'!AI208</f>
        <v>0</v>
      </c>
      <c r="M214" s="324">
        <f>'[2]Invoeren'!BC208</f>
        <v>0</v>
      </c>
      <c r="N214" s="324">
        <f>'[2]Invoeren'!BW208</f>
        <v>0</v>
      </c>
      <c r="O214" s="324">
        <f>'[2]Invoeren'!CQ208</f>
        <v>0</v>
      </c>
    </row>
    <row r="215" spans="1:15" ht="12.75">
      <c r="A215" s="325">
        <f>'[2]Invoeren'!B209</f>
        <v>1</v>
      </c>
      <c r="B215" s="326">
        <f>'[2]Invoeren'!A208</f>
        <v>202</v>
      </c>
      <c r="C215" s="347">
        <f>'[2]Invoeren'!$G208</f>
        <v>0</v>
      </c>
      <c r="D215" s="348">
        <f>'[2]Invoeren'!D208</f>
        <v>0</v>
      </c>
      <c r="E215" s="348">
        <f>'[2]Invoeren'!E208</f>
        <v>0</v>
      </c>
      <c r="F215" s="348">
        <f>'[2]Invoeren'!$I208</f>
        <v>0</v>
      </c>
      <c r="G215" s="329">
        <f>'[2]Invoeren'!$H208</f>
        <v>0</v>
      </c>
      <c r="H215" s="327">
        <f>'[2]Invoeren'!L208</f>
        <v>0</v>
      </c>
      <c r="I215" s="328">
        <f>'[2]Invoeren'!M208</f>
        <v>0</v>
      </c>
      <c r="J215" s="329">
        <f>'[2]Invoeren'!N208</f>
        <v>0</v>
      </c>
      <c r="K215" s="330">
        <f>'[2]Invoeren'!$C208</f>
        <v>0</v>
      </c>
      <c r="L215" s="324">
        <f>'[2]Invoeren'!AI209</f>
        <v>0</v>
      </c>
      <c r="M215" s="324">
        <f>'[2]Invoeren'!BC209</f>
        <v>0</v>
      </c>
      <c r="N215" s="324">
        <f>'[2]Invoeren'!BW209</f>
        <v>0</v>
      </c>
      <c r="O215" s="324">
        <f>'[2]Invoeren'!CQ209</f>
        <v>0</v>
      </c>
    </row>
    <row r="216" spans="1:15" ht="12.75">
      <c r="A216" s="325">
        <f>'[2]Invoeren'!B210</f>
        <v>1</v>
      </c>
      <c r="B216" s="326">
        <f>'[2]Invoeren'!A209</f>
        <v>203</v>
      </c>
      <c r="C216" s="347">
        <f>'[2]Invoeren'!$G209</f>
        <v>0</v>
      </c>
      <c r="D216" s="348">
        <f>'[2]Invoeren'!D209</f>
        <v>0</v>
      </c>
      <c r="E216" s="348">
        <f>'[2]Invoeren'!E209</f>
        <v>0</v>
      </c>
      <c r="F216" s="348">
        <f>'[2]Invoeren'!$I209</f>
        <v>0</v>
      </c>
      <c r="G216" s="329">
        <f>'[2]Invoeren'!$H209</f>
        <v>0</v>
      </c>
      <c r="H216" s="327">
        <f>'[2]Invoeren'!L209</f>
        <v>0</v>
      </c>
      <c r="I216" s="328">
        <f>'[2]Invoeren'!M209</f>
        <v>0</v>
      </c>
      <c r="J216" s="329">
        <f>'[2]Invoeren'!N209</f>
        <v>0</v>
      </c>
      <c r="K216" s="330">
        <f>'[2]Invoeren'!$C209</f>
        <v>0</v>
      </c>
      <c r="L216" s="324">
        <f>'[2]Invoeren'!AI210</f>
        <v>0</v>
      </c>
      <c r="M216" s="324">
        <f>'[2]Invoeren'!BC210</f>
        <v>0</v>
      </c>
      <c r="N216" s="324">
        <f>'[2]Invoeren'!BW210</f>
        <v>0</v>
      </c>
      <c r="O216" s="324">
        <f>'[2]Invoeren'!CQ210</f>
        <v>0</v>
      </c>
    </row>
    <row r="217" spans="1:15" ht="12.75">
      <c r="A217" s="325">
        <f>'[2]Invoeren'!B211</f>
        <v>1</v>
      </c>
      <c r="B217" s="326">
        <f>'[2]Invoeren'!A210</f>
        <v>204</v>
      </c>
      <c r="C217" s="347">
        <f>'[2]Invoeren'!$G210</f>
        <v>0</v>
      </c>
      <c r="D217" s="348">
        <f>'[2]Invoeren'!D210</f>
        <v>0</v>
      </c>
      <c r="E217" s="348">
        <f>'[2]Invoeren'!E210</f>
        <v>0</v>
      </c>
      <c r="F217" s="348">
        <f>'[2]Invoeren'!$I210</f>
        <v>0</v>
      </c>
      <c r="G217" s="329">
        <f>'[2]Invoeren'!$H210</f>
        <v>0</v>
      </c>
      <c r="H217" s="327">
        <f>'[2]Invoeren'!L210</f>
        <v>0</v>
      </c>
      <c r="I217" s="328">
        <f>'[2]Invoeren'!M210</f>
        <v>0</v>
      </c>
      <c r="J217" s="329">
        <f>'[2]Invoeren'!N210</f>
        <v>0</v>
      </c>
      <c r="K217" s="330">
        <f>'[2]Invoeren'!$C210</f>
        <v>0</v>
      </c>
      <c r="L217" s="324">
        <f>'[2]Invoeren'!AI211</f>
        <v>0</v>
      </c>
      <c r="M217" s="324">
        <f>'[2]Invoeren'!BC211</f>
        <v>0</v>
      </c>
      <c r="N217" s="324">
        <f>'[2]Invoeren'!BW211</f>
        <v>0</v>
      </c>
      <c r="O217" s="324">
        <f>'[2]Invoeren'!CQ211</f>
        <v>0</v>
      </c>
    </row>
    <row r="218" spans="1:15" ht="12.75">
      <c r="A218" s="325">
        <f>'[2]Invoeren'!B212</f>
        <v>1</v>
      </c>
      <c r="B218" s="326">
        <f>'[2]Invoeren'!A211</f>
        <v>205</v>
      </c>
      <c r="C218" s="347">
        <f>'[2]Invoeren'!$G211</f>
        <v>0</v>
      </c>
      <c r="D218" s="348">
        <f>'[2]Invoeren'!D211</f>
        <v>0</v>
      </c>
      <c r="E218" s="348">
        <f>'[2]Invoeren'!E211</f>
        <v>0</v>
      </c>
      <c r="F218" s="348">
        <f>'[2]Invoeren'!$I211</f>
        <v>0</v>
      </c>
      <c r="G218" s="329">
        <f>'[2]Invoeren'!$H211</f>
        <v>0</v>
      </c>
      <c r="H218" s="327">
        <f>'[2]Invoeren'!L211</f>
        <v>0</v>
      </c>
      <c r="I218" s="328">
        <f>'[2]Invoeren'!M211</f>
        <v>0</v>
      </c>
      <c r="J218" s="329">
        <f>'[2]Invoeren'!N211</f>
        <v>0</v>
      </c>
      <c r="K218" s="330">
        <f>'[2]Invoeren'!$C211</f>
        <v>0</v>
      </c>
      <c r="L218" s="324">
        <f>'[2]Invoeren'!AI212</f>
        <v>0</v>
      </c>
      <c r="M218" s="324">
        <f>'[2]Invoeren'!BC212</f>
        <v>0</v>
      </c>
      <c r="N218" s="324">
        <f>'[2]Invoeren'!BW212</f>
        <v>0</v>
      </c>
      <c r="O218" s="324">
        <f>'[2]Invoeren'!CQ212</f>
        <v>0</v>
      </c>
    </row>
    <row r="219" spans="1:15" ht="12.75">
      <c r="A219" s="325">
        <f>'[2]Invoeren'!B213</f>
        <v>1</v>
      </c>
      <c r="B219" s="326">
        <f>'[2]Invoeren'!A212</f>
        <v>206</v>
      </c>
      <c r="C219" s="347">
        <f>'[2]Invoeren'!$G212</f>
        <v>0</v>
      </c>
      <c r="D219" s="348">
        <f>'[2]Invoeren'!D212</f>
        <v>0</v>
      </c>
      <c r="E219" s="348">
        <f>'[2]Invoeren'!E212</f>
        <v>0</v>
      </c>
      <c r="F219" s="348">
        <f>'[2]Invoeren'!$I212</f>
        <v>0</v>
      </c>
      <c r="G219" s="329">
        <f>'[2]Invoeren'!$H212</f>
        <v>0</v>
      </c>
      <c r="H219" s="327">
        <f>'[2]Invoeren'!L212</f>
        <v>0</v>
      </c>
      <c r="I219" s="328">
        <f>'[2]Invoeren'!M212</f>
        <v>0</v>
      </c>
      <c r="J219" s="329">
        <f>'[2]Invoeren'!N212</f>
        <v>0</v>
      </c>
      <c r="K219" s="330">
        <f>'[2]Invoeren'!$C212</f>
        <v>0</v>
      </c>
      <c r="L219" s="324">
        <f>'[2]Invoeren'!AI213</f>
        <v>0</v>
      </c>
      <c r="M219" s="324">
        <f>'[2]Invoeren'!BC213</f>
        <v>0</v>
      </c>
      <c r="N219" s="324">
        <f>'[2]Invoeren'!BW213</f>
        <v>0</v>
      </c>
      <c r="O219" s="324">
        <f>'[2]Invoeren'!CQ213</f>
        <v>0</v>
      </c>
    </row>
    <row r="220" spans="1:15" ht="12.75">
      <c r="A220" s="325">
        <f>'[2]Invoeren'!B214</f>
        <v>1</v>
      </c>
      <c r="B220" s="326">
        <f>'[2]Invoeren'!A213</f>
        <v>207</v>
      </c>
      <c r="C220" s="347">
        <f>'[2]Invoeren'!$G213</f>
        <v>0</v>
      </c>
      <c r="D220" s="348">
        <f>'[2]Invoeren'!D213</f>
        <v>0</v>
      </c>
      <c r="E220" s="348">
        <f>'[2]Invoeren'!E213</f>
        <v>0</v>
      </c>
      <c r="F220" s="348">
        <f>'[2]Invoeren'!$I213</f>
        <v>0</v>
      </c>
      <c r="G220" s="329">
        <f>'[2]Invoeren'!$H213</f>
        <v>0</v>
      </c>
      <c r="H220" s="327">
        <f>'[2]Invoeren'!L213</f>
        <v>0</v>
      </c>
      <c r="I220" s="328">
        <f>'[2]Invoeren'!M213</f>
        <v>0</v>
      </c>
      <c r="J220" s="329">
        <f>'[2]Invoeren'!N213</f>
        <v>0</v>
      </c>
      <c r="K220" s="330">
        <f>'[2]Invoeren'!$C213</f>
        <v>0</v>
      </c>
      <c r="L220" s="324">
        <f>'[2]Invoeren'!AI214</f>
        <v>0</v>
      </c>
      <c r="M220" s="324">
        <f>'[2]Invoeren'!BC214</f>
        <v>0</v>
      </c>
      <c r="N220" s="324">
        <f>'[2]Invoeren'!BW214</f>
        <v>0</v>
      </c>
      <c r="O220" s="324">
        <f>'[2]Invoeren'!CQ214</f>
        <v>0</v>
      </c>
    </row>
    <row r="221" spans="1:15" ht="12.75">
      <c r="A221" s="325">
        <f>'[2]Invoeren'!B215</f>
        <v>1</v>
      </c>
      <c r="B221" s="326">
        <f>'[2]Invoeren'!A214</f>
        <v>208</v>
      </c>
      <c r="C221" s="347">
        <f>'[2]Invoeren'!$G214</f>
        <v>0</v>
      </c>
      <c r="D221" s="348">
        <f>'[2]Invoeren'!D214</f>
        <v>0</v>
      </c>
      <c r="E221" s="348">
        <f>'[2]Invoeren'!E214</f>
        <v>0</v>
      </c>
      <c r="F221" s="348">
        <f>'[2]Invoeren'!$I214</f>
        <v>0</v>
      </c>
      <c r="G221" s="329">
        <f>'[2]Invoeren'!$H214</f>
        <v>0</v>
      </c>
      <c r="H221" s="327">
        <f>'[2]Invoeren'!L214</f>
        <v>0</v>
      </c>
      <c r="I221" s="328">
        <f>'[2]Invoeren'!M214</f>
        <v>0</v>
      </c>
      <c r="J221" s="329">
        <f>'[2]Invoeren'!N214</f>
        <v>0</v>
      </c>
      <c r="K221" s="330">
        <f>'[2]Invoeren'!$C214</f>
        <v>0</v>
      </c>
      <c r="L221" s="324">
        <f>'[2]Invoeren'!AI215</f>
        <v>0</v>
      </c>
      <c r="M221" s="324">
        <f>'[2]Invoeren'!BC215</f>
        <v>0</v>
      </c>
      <c r="N221" s="324">
        <f>'[2]Invoeren'!BW215</f>
        <v>0</v>
      </c>
      <c r="O221" s="324">
        <f>'[2]Invoeren'!CQ215</f>
        <v>0</v>
      </c>
    </row>
    <row r="222" spans="1:15" ht="12.75">
      <c r="A222" s="325">
        <f>'[2]Invoeren'!B216</f>
        <v>1</v>
      </c>
      <c r="B222" s="326">
        <f>'[2]Invoeren'!A215</f>
        <v>209</v>
      </c>
      <c r="C222" s="347">
        <f>'[2]Invoeren'!$G215</f>
        <v>0</v>
      </c>
      <c r="D222" s="348">
        <f>'[2]Invoeren'!D215</f>
        <v>0</v>
      </c>
      <c r="E222" s="348">
        <f>'[2]Invoeren'!E215</f>
        <v>0</v>
      </c>
      <c r="F222" s="348">
        <f>'[2]Invoeren'!$I215</f>
        <v>0</v>
      </c>
      <c r="G222" s="329">
        <f>'[2]Invoeren'!$H215</f>
        <v>0</v>
      </c>
      <c r="H222" s="327">
        <f>'[2]Invoeren'!L215</f>
        <v>0</v>
      </c>
      <c r="I222" s="328">
        <f>'[2]Invoeren'!M215</f>
        <v>0</v>
      </c>
      <c r="J222" s="329">
        <f>'[2]Invoeren'!N215</f>
        <v>0</v>
      </c>
      <c r="K222" s="330">
        <f>'[2]Invoeren'!$C215</f>
        <v>0</v>
      </c>
      <c r="L222" s="324">
        <f>'[2]Invoeren'!AI216</f>
        <v>0</v>
      </c>
      <c r="M222" s="324">
        <f>'[2]Invoeren'!BC216</f>
        <v>0</v>
      </c>
      <c r="N222" s="324">
        <f>'[2]Invoeren'!BW216</f>
        <v>0</v>
      </c>
      <c r="O222" s="324">
        <f>'[2]Invoeren'!CQ216</f>
        <v>0</v>
      </c>
    </row>
    <row r="223" spans="1:15" ht="12.75">
      <c r="A223" s="325">
        <f>'[2]Invoeren'!B217</f>
        <v>1</v>
      </c>
      <c r="B223" s="326">
        <f>'[2]Invoeren'!A216</f>
        <v>210</v>
      </c>
      <c r="C223" s="347">
        <f>'[2]Invoeren'!$G216</f>
        <v>0</v>
      </c>
      <c r="D223" s="348">
        <f>'[2]Invoeren'!D216</f>
        <v>0</v>
      </c>
      <c r="E223" s="348">
        <f>'[2]Invoeren'!E216</f>
        <v>0</v>
      </c>
      <c r="F223" s="348">
        <f>'[2]Invoeren'!$I216</f>
        <v>0</v>
      </c>
      <c r="G223" s="329">
        <f>'[2]Invoeren'!$H216</f>
        <v>0</v>
      </c>
      <c r="H223" s="327">
        <f>'[2]Invoeren'!L216</f>
        <v>0</v>
      </c>
      <c r="I223" s="328">
        <f>'[2]Invoeren'!M216</f>
        <v>0</v>
      </c>
      <c r="J223" s="329">
        <f>'[2]Invoeren'!N216</f>
        <v>0</v>
      </c>
      <c r="K223" s="330">
        <f>'[2]Invoeren'!$C216</f>
        <v>0</v>
      </c>
      <c r="L223" s="324">
        <f>'[2]Invoeren'!AI217</f>
        <v>0</v>
      </c>
      <c r="M223" s="324">
        <f>'[2]Invoeren'!BC217</f>
        <v>0</v>
      </c>
      <c r="N223" s="324">
        <f>'[2]Invoeren'!BW217</f>
        <v>0</v>
      </c>
      <c r="O223" s="324">
        <f>'[2]Invoeren'!CQ217</f>
        <v>0</v>
      </c>
    </row>
    <row r="224" spans="1:15" ht="12.75">
      <c r="A224" s="325">
        <f>'[2]Invoeren'!B218</f>
        <v>1</v>
      </c>
      <c r="B224" s="326">
        <f>'[2]Invoeren'!A217</f>
        <v>211</v>
      </c>
      <c r="C224" s="347">
        <f>'[2]Invoeren'!$G217</f>
        <v>0</v>
      </c>
      <c r="D224" s="348">
        <f>'[2]Invoeren'!D217</f>
        <v>0</v>
      </c>
      <c r="E224" s="348">
        <f>'[2]Invoeren'!E217</f>
        <v>0</v>
      </c>
      <c r="F224" s="348">
        <f>'[2]Invoeren'!$I217</f>
        <v>0</v>
      </c>
      <c r="G224" s="329">
        <f>'[2]Invoeren'!$H217</f>
        <v>0</v>
      </c>
      <c r="H224" s="327">
        <f>'[2]Invoeren'!L217</f>
        <v>0</v>
      </c>
      <c r="I224" s="328">
        <f>'[2]Invoeren'!M217</f>
        <v>0</v>
      </c>
      <c r="J224" s="329">
        <f>'[2]Invoeren'!N217</f>
        <v>0</v>
      </c>
      <c r="K224" s="330">
        <f>'[2]Invoeren'!$C217</f>
        <v>0</v>
      </c>
      <c r="L224" s="324">
        <f>'[2]Invoeren'!AI218</f>
        <v>0</v>
      </c>
      <c r="M224" s="324">
        <f>'[2]Invoeren'!BC218</f>
        <v>0</v>
      </c>
      <c r="N224" s="324">
        <f>'[2]Invoeren'!BW218</f>
        <v>0</v>
      </c>
      <c r="O224" s="324">
        <f>'[2]Invoeren'!CQ218</f>
        <v>0</v>
      </c>
    </row>
    <row r="225" spans="1:15" ht="12.75">
      <c r="A225" s="325">
        <f>'[2]Invoeren'!B219</f>
        <v>1</v>
      </c>
      <c r="B225" s="326">
        <f>'[2]Invoeren'!A218</f>
        <v>212</v>
      </c>
      <c r="C225" s="347">
        <f>'[2]Invoeren'!$G218</f>
        <v>0</v>
      </c>
      <c r="D225" s="348">
        <f>'[2]Invoeren'!D218</f>
        <v>0</v>
      </c>
      <c r="E225" s="348">
        <f>'[2]Invoeren'!E218</f>
        <v>0</v>
      </c>
      <c r="F225" s="348">
        <f>'[2]Invoeren'!$I218</f>
        <v>0</v>
      </c>
      <c r="G225" s="329">
        <f>'[2]Invoeren'!$H218</f>
        <v>0</v>
      </c>
      <c r="H225" s="327">
        <f>'[2]Invoeren'!L218</f>
        <v>0</v>
      </c>
      <c r="I225" s="328">
        <f>'[2]Invoeren'!M218</f>
        <v>0</v>
      </c>
      <c r="J225" s="329">
        <f>'[2]Invoeren'!N218</f>
        <v>0</v>
      </c>
      <c r="K225" s="330">
        <f>'[2]Invoeren'!$C218</f>
        <v>0</v>
      </c>
      <c r="L225" s="324">
        <f>'[2]Invoeren'!AI219</f>
        <v>0</v>
      </c>
      <c r="M225" s="324">
        <f>'[2]Invoeren'!BC219</f>
        <v>0</v>
      </c>
      <c r="N225" s="324">
        <f>'[2]Invoeren'!BW219</f>
        <v>0</v>
      </c>
      <c r="O225" s="324">
        <f>'[2]Invoeren'!CQ219</f>
        <v>0</v>
      </c>
    </row>
    <row r="226" spans="1:15" ht="12.75">
      <c r="A226" s="325">
        <f>'[2]Invoeren'!B220</f>
        <v>1</v>
      </c>
      <c r="B226" s="326">
        <f>'[2]Invoeren'!A219</f>
        <v>213</v>
      </c>
      <c r="C226" s="347">
        <f>'[2]Invoeren'!$G219</f>
        <v>0</v>
      </c>
      <c r="D226" s="348">
        <f>'[2]Invoeren'!D219</f>
        <v>0</v>
      </c>
      <c r="E226" s="348">
        <f>'[2]Invoeren'!E219</f>
        <v>0</v>
      </c>
      <c r="F226" s="348">
        <f>'[2]Invoeren'!$I219</f>
        <v>0</v>
      </c>
      <c r="G226" s="329">
        <f>'[2]Invoeren'!$H219</f>
        <v>0</v>
      </c>
      <c r="H226" s="327">
        <f>'[2]Invoeren'!L219</f>
        <v>0</v>
      </c>
      <c r="I226" s="328">
        <f>'[2]Invoeren'!M219</f>
        <v>0</v>
      </c>
      <c r="J226" s="329">
        <f>'[2]Invoeren'!N219</f>
        <v>0</v>
      </c>
      <c r="K226" s="330">
        <f>'[2]Invoeren'!$C219</f>
        <v>0</v>
      </c>
      <c r="L226" s="324">
        <f>'[2]Invoeren'!AI220</f>
        <v>0</v>
      </c>
      <c r="M226" s="324">
        <f>'[2]Invoeren'!BC220</f>
        <v>0</v>
      </c>
      <c r="N226" s="324">
        <f>'[2]Invoeren'!BW220</f>
        <v>0</v>
      </c>
      <c r="O226" s="324">
        <f>'[2]Invoeren'!CQ220</f>
        <v>0</v>
      </c>
    </row>
    <row r="227" spans="1:15" ht="12.75">
      <c r="A227" s="325">
        <f>'[2]Invoeren'!B221</f>
        <v>1</v>
      </c>
      <c r="B227" s="326">
        <f>'[2]Invoeren'!A220</f>
        <v>214</v>
      </c>
      <c r="C227" s="347">
        <f>'[2]Invoeren'!$G220</f>
        <v>0</v>
      </c>
      <c r="D227" s="348">
        <f>'[2]Invoeren'!D220</f>
        <v>0</v>
      </c>
      <c r="E227" s="348">
        <f>'[2]Invoeren'!E220</f>
        <v>0</v>
      </c>
      <c r="F227" s="348">
        <f>'[2]Invoeren'!$I220</f>
        <v>0</v>
      </c>
      <c r="G227" s="329">
        <f>'[2]Invoeren'!$H220</f>
        <v>0</v>
      </c>
      <c r="H227" s="327">
        <f>'[2]Invoeren'!L220</f>
        <v>0</v>
      </c>
      <c r="I227" s="328">
        <f>'[2]Invoeren'!M220</f>
        <v>0</v>
      </c>
      <c r="J227" s="329">
        <f>'[2]Invoeren'!N220</f>
        <v>0</v>
      </c>
      <c r="K227" s="330">
        <f>'[2]Invoeren'!$C220</f>
        <v>0</v>
      </c>
      <c r="L227" s="324">
        <f>'[2]Invoeren'!AI221</f>
        <v>0</v>
      </c>
      <c r="M227" s="324">
        <f>'[2]Invoeren'!BC221</f>
        <v>0</v>
      </c>
      <c r="N227" s="324">
        <f>'[2]Invoeren'!BW221</f>
        <v>0</v>
      </c>
      <c r="O227" s="324">
        <f>'[2]Invoeren'!CQ221</f>
        <v>0</v>
      </c>
    </row>
    <row r="228" spans="1:15" ht="12.75">
      <c r="A228" s="325">
        <f>'[2]Invoeren'!B222</f>
        <v>1</v>
      </c>
      <c r="B228" s="326">
        <f>'[2]Invoeren'!A221</f>
        <v>215</v>
      </c>
      <c r="C228" s="347">
        <f>'[2]Invoeren'!$G221</f>
        <v>0</v>
      </c>
      <c r="D228" s="348">
        <f>'[2]Invoeren'!D221</f>
        <v>0</v>
      </c>
      <c r="E228" s="348">
        <f>'[2]Invoeren'!E221</f>
        <v>0</v>
      </c>
      <c r="F228" s="348">
        <f>'[2]Invoeren'!$I221</f>
        <v>0</v>
      </c>
      <c r="G228" s="329">
        <f>'[2]Invoeren'!$H221</f>
        <v>0</v>
      </c>
      <c r="H228" s="327">
        <f>'[2]Invoeren'!L221</f>
        <v>0</v>
      </c>
      <c r="I228" s="328">
        <f>'[2]Invoeren'!M221</f>
        <v>0</v>
      </c>
      <c r="J228" s="329">
        <f>'[2]Invoeren'!N221</f>
        <v>0</v>
      </c>
      <c r="K228" s="330">
        <f>'[2]Invoeren'!$C221</f>
        <v>0</v>
      </c>
      <c r="L228" s="324">
        <f>'[2]Invoeren'!AI222</f>
        <v>0</v>
      </c>
      <c r="M228" s="324">
        <f>'[2]Invoeren'!BC222</f>
        <v>0</v>
      </c>
      <c r="N228" s="324">
        <f>'[2]Invoeren'!BW222</f>
        <v>0</v>
      </c>
      <c r="O228" s="324">
        <f>'[2]Invoeren'!CQ222</f>
        <v>0</v>
      </c>
    </row>
    <row r="229" spans="1:15" ht="12.75">
      <c r="A229" s="325">
        <f>'[2]Invoeren'!B223</f>
        <v>1</v>
      </c>
      <c r="B229" s="326">
        <f>'[2]Invoeren'!A222</f>
        <v>216</v>
      </c>
      <c r="C229" s="347">
        <f>'[2]Invoeren'!$G222</f>
        <v>0</v>
      </c>
      <c r="D229" s="348">
        <f>'[2]Invoeren'!D222</f>
        <v>0</v>
      </c>
      <c r="E229" s="348">
        <f>'[2]Invoeren'!E222</f>
        <v>0</v>
      </c>
      <c r="F229" s="348">
        <f>'[2]Invoeren'!$I222</f>
        <v>0</v>
      </c>
      <c r="G229" s="329">
        <f>'[2]Invoeren'!$H222</f>
        <v>0</v>
      </c>
      <c r="H229" s="327">
        <f>'[2]Invoeren'!L222</f>
        <v>0</v>
      </c>
      <c r="I229" s="328">
        <f>'[2]Invoeren'!M222</f>
        <v>0</v>
      </c>
      <c r="J229" s="329">
        <f>'[2]Invoeren'!N222</f>
        <v>0</v>
      </c>
      <c r="K229" s="330">
        <f>'[2]Invoeren'!$C222</f>
        <v>0</v>
      </c>
      <c r="L229" s="324">
        <f>'[2]Invoeren'!AI223</f>
        <v>0</v>
      </c>
      <c r="M229" s="324">
        <f>'[2]Invoeren'!BC223</f>
        <v>0</v>
      </c>
      <c r="N229" s="324">
        <f>'[2]Invoeren'!BW223</f>
        <v>0</v>
      </c>
      <c r="O229" s="324">
        <f>'[2]Invoeren'!CQ223</f>
        <v>0</v>
      </c>
    </row>
    <row r="230" spans="1:15" ht="12.75">
      <c r="A230" s="325">
        <f>'[2]Invoeren'!B224</f>
        <v>1</v>
      </c>
      <c r="B230" s="326">
        <f>'[2]Invoeren'!A223</f>
        <v>217</v>
      </c>
      <c r="C230" s="347">
        <f>'[2]Invoeren'!$G223</f>
        <v>0</v>
      </c>
      <c r="D230" s="348">
        <f>'[2]Invoeren'!D223</f>
        <v>0</v>
      </c>
      <c r="E230" s="348">
        <f>'[2]Invoeren'!E223</f>
        <v>0</v>
      </c>
      <c r="F230" s="348">
        <f>'[2]Invoeren'!$I223</f>
        <v>0</v>
      </c>
      <c r="G230" s="329">
        <f>'[2]Invoeren'!$H223</f>
        <v>0</v>
      </c>
      <c r="H230" s="327">
        <f>'[2]Invoeren'!L223</f>
        <v>0</v>
      </c>
      <c r="I230" s="328">
        <f>'[2]Invoeren'!M223</f>
        <v>0</v>
      </c>
      <c r="J230" s="329">
        <f>'[2]Invoeren'!N223</f>
        <v>0</v>
      </c>
      <c r="K230" s="330">
        <f>'[2]Invoeren'!$C223</f>
        <v>0</v>
      </c>
      <c r="L230" s="324">
        <f>'[2]Invoeren'!AI224</f>
        <v>0</v>
      </c>
      <c r="M230" s="324">
        <f>'[2]Invoeren'!BC224</f>
        <v>0</v>
      </c>
      <c r="N230" s="324">
        <f>'[2]Invoeren'!BW224</f>
        <v>0</v>
      </c>
      <c r="O230" s="324">
        <f>'[2]Invoeren'!CQ224</f>
        <v>0</v>
      </c>
    </row>
    <row r="231" spans="1:15" ht="12.75">
      <c r="A231" s="325">
        <f>'[2]Invoeren'!B225</f>
        <v>1</v>
      </c>
      <c r="B231" s="326">
        <f>'[2]Invoeren'!A224</f>
        <v>218</v>
      </c>
      <c r="C231" s="347">
        <f>'[2]Invoeren'!$G224</f>
        <v>0</v>
      </c>
      <c r="D231" s="348">
        <f>'[2]Invoeren'!D224</f>
        <v>0</v>
      </c>
      <c r="E231" s="348">
        <f>'[2]Invoeren'!E224</f>
        <v>0</v>
      </c>
      <c r="F231" s="348">
        <f>'[2]Invoeren'!$I224</f>
        <v>0</v>
      </c>
      <c r="G231" s="329">
        <f>'[2]Invoeren'!$H224</f>
        <v>0</v>
      </c>
      <c r="H231" s="327">
        <f>'[2]Invoeren'!L224</f>
        <v>0</v>
      </c>
      <c r="I231" s="328">
        <f>'[2]Invoeren'!M224</f>
        <v>0</v>
      </c>
      <c r="J231" s="329">
        <f>'[2]Invoeren'!N224</f>
        <v>0</v>
      </c>
      <c r="K231" s="330">
        <f>'[2]Invoeren'!$C224</f>
        <v>0</v>
      </c>
      <c r="L231" s="324">
        <f>'[2]Invoeren'!AI225</f>
        <v>0</v>
      </c>
      <c r="M231" s="324">
        <f>'[2]Invoeren'!BC225</f>
        <v>0</v>
      </c>
      <c r="N231" s="324">
        <f>'[2]Invoeren'!BW225</f>
        <v>0</v>
      </c>
      <c r="O231" s="324">
        <f>'[2]Invoeren'!CQ225</f>
        <v>0</v>
      </c>
    </row>
    <row r="232" spans="1:15" ht="12.75">
      <c r="A232" s="325">
        <f>'[2]Invoeren'!B226</f>
        <v>1</v>
      </c>
      <c r="B232" s="326">
        <f>'[2]Invoeren'!A225</f>
        <v>219</v>
      </c>
      <c r="C232" s="347">
        <f>'[2]Invoeren'!$G225</f>
        <v>0</v>
      </c>
      <c r="D232" s="348">
        <f>'[2]Invoeren'!D225</f>
        <v>0</v>
      </c>
      <c r="E232" s="348">
        <f>'[2]Invoeren'!E225</f>
        <v>0</v>
      </c>
      <c r="F232" s="348">
        <f>'[2]Invoeren'!$I225</f>
        <v>0</v>
      </c>
      <c r="G232" s="329">
        <f>'[2]Invoeren'!$H225</f>
        <v>0</v>
      </c>
      <c r="H232" s="327">
        <f>'[2]Invoeren'!L225</f>
        <v>0</v>
      </c>
      <c r="I232" s="328">
        <f>'[2]Invoeren'!M225</f>
        <v>0</v>
      </c>
      <c r="J232" s="329">
        <f>'[2]Invoeren'!N225</f>
        <v>0</v>
      </c>
      <c r="K232" s="330">
        <f>'[2]Invoeren'!$C225</f>
        <v>0</v>
      </c>
      <c r="L232" s="324">
        <f>'[2]Invoeren'!AI226</f>
        <v>0</v>
      </c>
      <c r="M232" s="324">
        <f>'[2]Invoeren'!BC226</f>
        <v>0</v>
      </c>
      <c r="N232" s="324">
        <f>'[2]Invoeren'!BW226</f>
        <v>0</v>
      </c>
      <c r="O232" s="324">
        <f>'[2]Invoeren'!CQ226</f>
        <v>0</v>
      </c>
    </row>
    <row r="233" spans="1:15" ht="12.75">
      <c r="A233" s="325">
        <f>'[2]Invoeren'!B227</f>
        <v>1</v>
      </c>
      <c r="B233" s="326">
        <f>'[2]Invoeren'!A226</f>
        <v>220</v>
      </c>
      <c r="C233" s="347">
        <f>'[2]Invoeren'!$G226</f>
        <v>0</v>
      </c>
      <c r="D233" s="348">
        <f>'[2]Invoeren'!D226</f>
        <v>0</v>
      </c>
      <c r="E233" s="348">
        <f>'[2]Invoeren'!E226</f>
        <v>0</v>
      </c>
      <c r="F233" s="348">
        <f>'[2]Invoeren'!$I226</f>
        <v>0</v>
      </c>
      <c r="G233" s="329">
        <f>'[2]Invoeren'!$H226</f>
        <v>0</v>
      </c>
      <c r="H233" s="327">
        <f>'[2]Invoeren'!L226</f>
        <v>0</v>
      </c>
      <c r="I233" s="328">
        <f>'[2]Invoeren'!M226</f>
        <v>0</v>
      </c>
      <c r="J233" s="329">
        <f>'[2]Invoeren'!N226</f>
        <v>0</v>
      </c>
      <c r="K233" s="330">
        <f>'[2]Invoeren'!$C226</f>
        <v>0</v>
      </c>
      <c r="L233" s="324">
        <f>'[2]Invoeren'!AI227</f>
        <v>0</v>
      </c>
      <c r="M233" s="324">
        <f>'[2]Invoeren'!BC227</f>
        <v>0</v>
      </c>
      <c r="N233" s="324">
        <f>'[2]Invoeren'!BW227</f>
        <v>0</v>
      </c>
      <c r="O233" s="324">
        <f>'[2]Invoeren'!CQ227</f>
        <v>0</v>
      </c>
    </row>
    <row r="234" spans="1:15" ht="12.75">
      <c r="A234" s="325">
        <f>'[2]Invoeren'!B228</f>
        <v>1</v>
      </c>
      <c r="B234" s="326">
        <f>'[2]Invoeren'!A227</f>
        <v>221</v>
      </c>
      <c r="C234" s="347">
        <f>'[2]Invoeren'!$G227</f>
        <v>0</v>
      </c>
      <c r="D234" s="348">
        <f>'[2]Invoeren'!D227</f>
        <v>0</v>
      </c>
      <c r="E234" s="348">
        <f>'[2]Invoeren'!E227</f>
        <v>0</v>
      </c>
      <c r="F234" s="348">
        <f>'[2]Invoeren'!$I227</f>
        <v>0</v>
      </c>
      <c r="G234" s="329">
        <f>'[2]Invoeren'!$H227</f>
        <v>0</v>
      </c>
      <c r="H234" s="327">
        <f>'[2]Invoeren'!L227</f>
        <v>0</v>
      </c>
      <c r="I234" s="328">
        <f>'[2]Invoeren'!M227</f>
        <v>0</v>
      </c>
      <c r="J234" s="329">
        <f>'[2]Invoeren'!N227</f>
        <v>0</v>
      </c>
      <c r="K234" s="330">
        <f>'[2]Invoeren'!$C227</f>
        <v>0</v>
      </c>
      <c r="L234" s="324">
        <f>'[2]Invoeren'!AI228</f>
        <v>0</v>
      </c>
      <c r="M234" s="324">
        <f>'[2]Invoeren'!BC228</f>
        <v>0</v>
      </c>
      <c r="N234" s="324">
        <f>'[2]Invoeren'!BW228</f>
        <v>0</v>
      </c>
      <c r="O234" s="324">
        <f>'[2]Invoeren'!CQ228</f>
        <v>0</v>
      </c>
    </row>
    <row r="235" spans="1:15" ht="12.75">
      <c r="A235" s="325">
        <f>'[2]Invoeren'!B229</f>
        <v>1</v>
      </c>
      <c r="B235" s="326">
        <f>'[2]Invoeren'!A228</f>
        <v>222</v>
      </c>
      <c r="C235" s="347">
        <f>'[2]Invoeren'!$G228</f>
        <v>0</v>
      </c>
      <c r="D235" s="348">
        <f>'[2]Invoeren'!D228</f>
        <v>0</v>
      </c>
      <c r="E235" s="348">
        <f>'[2]Invoeren'!E228</f>
        <v>0</v>
      </c>
      <c r="F235" s="348">
        <f>'[2]Invoeren'!$I228</f>
        <v>0</v>
      </c>
      <c r="G235" s="329">
        <f>'[2]Invoeren'!$H228</f>
        <v>0</v>
      </c>
      <c r="H235" s="327">
        <f>'[2]Invoeren'!L228</f>
        <v>0</v>
      </c>
      <c r="I235" s="328">
        <f>'[2]Invoeren'!M228</f>
        <v>0</v>
      </c>
      <c r="J235" s="329">
        <f>'[2]Invoeren'!N228</f>
        <v>0</v>
      </c>
      <c r="K235" s="330">
        <f>'[2]Invoeren'!$C228</f>
        <v>0</v>
      </c>
      <c r="L235" s="324">
        <f>'[2]Invoeren'!AI229</f>
        <v>0</v>
      </c>
      <c r="M235" s="324">
        <f>'[2]Invoeren'!BC229</f>
        <v>0</v>
      </c>
      <c r="N235" s="324">
        <f>'[2]Invoeren'!BW229</f>
        <v>0</v>
      </c>
      <c r="O235" s="324">
        <f>'[2]Invoeren'!CQ229</f>
        <v>0</v>
      </c>
    </row>
    <row r="236" spans="1:15" ht="12.75">
      <c r="A236" s="325">
        <f>'[2]Invoeren'!B230</f>
        <v>1</v>
      </c>
      <c r="B236" s="326">
        <f>'[2]Invoeren'!A229</f>
        <v>223</v>
      </c>
      <c r="C236" s="347">
        <f>'[2]Invoeren'!$G229</f>
        <v>0</v>
      </c>
      <c r="D236" s="348">
        <f>'[2]Invoeren'!D229</f>
        <v>0</v>
      </c>
      <c r="E236" s="348">
        <f>'[2]Invoeren'!E229</f>
        <v>0</v>
      </c>
      <c r="F236" s="348">
        <f>'[2]Invoeren'!$I229</f>
        <v>0</v>
      </c>
      <c r="G236" s="329">
        <f>'[2]Invoeren'!$H229</f>
        <v>0</v>
      </c>
      <c r="H236" s="327">
        <f>'[2]Invoeren'!L229</f>
        <v>0</v>
      </c>
      <c r="I236" s="328">
        <f>'[2]Invoeren'!M229</f>
        <v>0</v>
      </c>
      <c r="J236" s="329">
        <f>'[2]Invoeren'!N229</f>
        <v>0</v>
      </c>
      <c r="K236" s="330">
        <f>'[2]Invoeren'!$C229</f>
        <v>0</v>
      </c>
      <c r="L236" s="324">
        <f>'[2]Invoeren'!AI230</f>
        <v>0</v>
      </c>
      <c r="M236" s="324">
        <f>'[2]Invoeren'!BC230</f>
        <v>0</v>
      </c>
      <c r="N236" s="324">
        <f>'[2]Invoeren'!BW230</f>
        <v>0</v>
      </c>
      <c r="O236" s="324">
        <f>'[2]Invoeren'!CQ230</f>
        <v>0</v>
      </c>
    </row>
    <row r="237" spans="1:15" ht="12.75">
      <c r="A237" s="325">
        <f>'[2]Invoeren'!B231</f>
        <v>1</v>
      </c>
      <c r="B237" s="326">
        <f>'[2]Invoeren'!A230</f>
        <v>224</v>
      </c>
      <c r="C237" s="347">
        <f>'[2]Invoeren'!$G230</f>
        <v>0</v>
      </c>
      <c r="D237" s="348">
        <f>'[2]Invoeren'!D230</f>
        <v>0</v>
      </c>
      <c r="E237" s="348">
        <f>'[2]Invoeren'!E230</f>
        <v>0</v>
      </c>
      <c r="F237" s="348">
        <f>'[2]Invoeren'!$I230</f>
        <v>0</v>
      </c>
      <c r="G237" s="329">
        <f>'[2]Invoeren'!$H230</f>
        <v>0</v>
      </c>
      <c r="H237" s="327">
        <f>'[2]Invoeren'!L230</f>
        <v>0</v>
      </c>
      <c r="I237" s="328">
        <f>'[2]Invoeren'!M230</f>
        <v>0</v>
      </c>
      <c r="J237" s="329">
        <f>'[2]Invoeren'!N230</f>
        <v>0</v>
      </c>
      <c r="K237" s="330">
        <f>'[2]Invoeren'!$C230</f>
        <v>0</v>
      </c>
      <c r="L237" s="324">
        <f>'[2]Invoeren'!AI231</f>
        <v>0</v>
      </c>
      <c r="M237" s="324">
        <f>'[2]Invoeren'!BC231</f>
        <v>0</v>
      </c>
      <c r="N237" s="324">
        <f>'[2]Invoeren'!BW231</f>
        <v>0</v>
      </c>
      <c r="O237" s="324">
        <f>'[2]Invoeren'!CQ231</f>
        <v>0</v>
      </c>
    </row>
    <row r="238" spans="1:15" ht="12.75">
      <c r="A238" s="325">
        <f>'[2]Invoeren'!B232</f>
        <v>1</v>
      </c>
      <c r="B238" s="326">
        <f>'[2]Invoeren'!A231</f>
        <v>225</v>
      </c>
      <c r="C238" s="347">
        <f>'[2]Invoeren'!$G231</f>
        <v>0</v>
      </c>
      <c r="D238" s="348">
        <f>'[2]Invoeren'!D231</f>
        <v>0</v>
      </c>
      <c r="E238" s="348">
        <f>'[2]Invoeren'!E231</f>
        <v>0</v>
      </c>
      <c r="F238" s="348">
        <f>'[2]Invoeren'!$I231</f>
        <v>0</v>
      </c>
      <c r="G238" s="329">
        <f>'[2]Invoeren'!$H231</f>
        <v>0</v>
      </c>
      <c r="H238" s="327">
        <f>'[2]Invoeren'!L231</f>
        <v>0</v>
      </c>
      <c r="I238" s="328">
        <f>'[2]Invoeren'!M231</f>
        <v>0</v>
      </c>
      <c r="J238" s="329">
        <f>'[2]Invoeren'!N231</f>
        <v>0</v>
      </c>
      <c r="K238" s="330">
        <f>'[2]Invoeren'!$C231</f>
        <v>0</v>
      </c>
      <c r="L238" s="324">
        <f>'[2]Invoeren'!AI232</f>
        <v>0</v>
      </c>
      <c r="M238" s="324">
        <f>'[2]Invoeren'!BC232</f>
        <v>0</v>
      </c>
      <c r="N238" s="324">
        <f>'[2]Invoeren'!BW232</f>
        <v>0</v>
      </c>
      <c r="O238" s="324">
        <f>'[2]Invoeren'!CQ232</f>
        <v>0</v>
      </c>
    </row>
    <row r="239" spans="1:15" ht="12.75">
      <c r="A239" s="325">
        <f>'[2]Invoeren'!B233</f>
        <v>1</v>
      </c>
      <c r="B239" s="326">
        <f>'[2]Invoeren'!A232</f>
        <v>226</v>
      </c>
      <c r="C239" s="347">
        <f>'[2]Invoeren'!$G232</f>
        <v>0</v>
      </c>
      <c r="D239" s="348">
        <f>'[2]Invoeren'!D232</f>
        <v>0</v>
      </c>
      <c r="E239" s="348">
        <f>'[2]Invoeren'!E232</f>
        <v>0</v>
      </c>
      <c r="F239" s="348">
        <f>'[2]Invoeren'!$I232</f>
        <v>0</v>
      </c>
      <c r="G239" s="329">
        <f>'[2]Invoeren'!$H232</f>
        <v>0</v>
      </c>
      <c r="H239" s="327">
        <f>'[2]Invoeren'!L232</f>
        <v>0</v>
      </c>
      <c r="I239" s="328">
        <f>'[2]Invoeren'!M232</f>
        <v>0</v>
      </c>
      <c r="J239" s="329">
        <f>'[2]Invoeren'!N232</f>
        <v>0</v>
      </c>
      <c r="K239" s="330">
        <f>'[2]Invoeren'!$C232</f>
        <v>0</v>
      </c>
      <c r="L239" s="324">
        <f>'[2]Invoeren'!AI233</f>
        <v>0</v>
      </c>
      <c r="M239" s="324">
        <f>'[2]Invoeren'!BC233</f>
        <v>0</v>
      </c>
      <c r="N239" s="324">
        <f>'[2]Invoeren'!BW233</f>
        <v>0</v>
      </c>
      <c r="O239" s="324">
        <f>'[2]Invoeren'!CQ233</f>
        <v>0</v>
      </c>
    </row>
    <row r="240" spans="1:15" ht="12.75">
      <c r="A240" s="325">
        <f>'[2]Invoeren'!B234</f>
        <v>1</v>
      </c>
      <c r="B240" s="326">
        <f>'[2]Invoeren'!A233</f>
        <v>227</v>
      </c>
      <c r="C240" s="347">
        <f>'[2]Invoeren'!$G233</f>
        <v>0</v>
      </c>
      <c r="D240" s="348">
        <f>'[2]Invoeren'!D233</f>
        <v>0</v>
      </c>
      <c r="E240" s="348">
        <f>'[2]Invoeren'!E233</f>
        <v>0</v>
      </c>
      <c r="F240" s="348">
        <f>'[2]Invoeren'!$I233</f>
        <v>0</v>
      </c>
      <c r="G240" s="329">
        <f>'[2]Invoeren'!$H233</f>
        <v>0</v>
      </c>
      <c r="H240" s="327">
        <f>'[2]Invoeren'!L233</f>
        <v>0</v>
      </c>
      <c r="I240" s="328">
        <f>'[2]Invoeren'!M233</f>
        <v>0</v>
      </c>
      <c r="J240" s="329">
        <f>'[2]Invoeren'!N233</f>
        <v>0</v>
      </c>
      <c r="K240" s="330">
        <f>'[2]Invoeren'!$C233</f>
        <v>0</v>
      </c>
      <c r="L240" s="324">
        <f>'[2]Invoeren'!AI234</f>
        <v>0</v>
      </c>
      <c r="M240" s="324">
        <f>'[2]Invoeren'!BC234</f>
        <v>0</v>
      </c>
      <c r="N240" s="324">
        <f>'[2]Invoeren'!BW234</f>
        <v>0</v>
      </c>
      <c r="O240" s="324">
        <f>'[2]Invoeren'!CQ234</f>
        <v>0</v>
      </c>
    </row>
    <row r="241" spans="1:15" ht="12.75">
      <c r="A241" s="325">
        <f>'[2]Invoeren'!B235</f>
        <v>1</v>
      </c>
      <c r="B241" s="326">
        <f>'[2]Invoeren'!A234</f>
        <v>228</v>
      </c>
      <c r="C241" s="347">
        <f>'[2]Invoeren'!$G234</f>
        <v>0</v>
      </c>
      <c r="D241" s="348">
        <f>'[2]Invoeren'!D234</f>
        <v>0</v>
      </c>
      <c r="E241" s="348">
        <f>'[2]Invoeren'!E234</f>
        <v>0</v>
      </c>
      <c r="F241" s="348">
        <f>'[2]Invoeren'!$I234</f>
        <v>0</v>
      </c>
      <c r="G241" s="329">
        <f>'[2]Invoeren'!$H234</f>
        <v>0</v>
      </c>
      <c r="H241" s="327">
        <f>'[2]Invoeren'!L234</f>
        <v>0</v>
      </c>
      <c r="I241" s="328">
        <f>'[2]Invoeren'!M234</f>
        <v>0</v>
      </c>
      <c r="J241" s="329">
        <f>'[2]Invoeren'!N234</f>
        <v>0</v>
      </c>
      <c r="K241" s="330">
        <f>'[2]Invoeren'!$C234</f>
        <v>0</v>
      </c>
      <c r="L241" s="324">
        <f>'[2]Invoeren'!AI235</f>
        <v>0</v>
      </c>
      <c r="M241" s="324">
        <f>'[2]Invoeren'!BC235</f>
        <v>0</v>
      </c>
      <c r="N241" s="324">
        <f>'[2]Invoeren'!BW235</f>
        <v>0</v>
      </c>
      <c r="O241" s="324">
        <f>'[2]Invoeren'!CQ235</f>
        <v>0</v>
      </c>
    </row>
    <row r="242" spans="1:15" ht="12.75">
      <c r="A242" s="325">
        <f>'[2]Invoeren'!B236</f>
        <v>1</v>
      </c>
      <c r="B242" s="326">
        <f>'[2]Invoeren'!A235</f>
        <v>229</v>
      </c>
      <c r="C242" s="347">
        <f>'[2]Invoeren'!$G235</f>
        <v>0</v>
      </c>
      <c r="D242" s="348">
        <f>'[2]Invoeren'!D235</f>
        <v>0</v>
      </c>
      <c r="E242" s="348">
        <f>'[2]Invoeren'!E235</f>
        <v>0</v>
      </c>
      <c r="F242" s="348">
        <f>'[2]Invoeren'!$I235</f>
        <v>0</v>
      </c>
      <c r="G242" s="329">
        <f>'[2]Invoeren'!$H235</f>
        <v>0</v>
      </c>
      <c r="H242" s="327">
        <f>'[2]Invoeren'!L235</f>
        <v>0</v>
      </c>
      <c r="I242" s="328">
        <f>'[2]Invoeren'!M235</f>
        <v>0</v>
      </c>
      <c r="J242" s="329">
        <f>'[2]Invoeren'!N235</f>
        <v>0</v>
      </c>
      <c r="K242" s="330">
        <f>'[2]Invoeren'!$C235</f>
        <v>0</v>
      </c>
      <c r="L242" s="324">
        <f>'[2]Invoeren'!AI236</f>
        <v>0</v>
      </c>
      <c r="M242" s="324">
        <f>'[2]Invoeren'!BC236</f>
        <v>0</v>
      </c>
      <c r="N242" s="324">
        <f>'[2]Invoeren'!BW236</f>
        <v>0</v>
      </c>
      <c r="O242" s="324">
        <f>'[2]Invoeren'!CQ236</f>
        <v>0</v>
      </c>
    </row>
    <row r="243" spans="1:15" ht="12.75">
      <c r="A243" s="325">
        <f>'[2]Invoeren'!B237</f>
        <v>1</v>
      </c>
      <c r="B243" s="326">
        <f>'[2]Invoeren'!A236</f>
        <v>230</v>
      </c>
      <c r="C243" s="347">
        <f>'[2]Invoeren'!$G236</f>
        <v>0</v>
      </c>
      <c r="D243" s="348">
        <f>'[2]Invoeren'!D236</f>
        <v>0</v>
      </c>
      <c r="E243" s="348">
        <f>'[2]Invoeren'!E236</f>
        <v>0</v>
      </c>
      <c r="F243" s="348">
        <f>'[2]Invoeren'!$I236</f>
        <v>0</v>
      </c>
      <c r="G243" s="329">
        <f>'[2]Invoeren'!$H236</f>
        <v>0</v>
      </c>
      <c r="H243" s="327">
        <f>'[2]Invoeren'!L236</f>
        <v>0</v>
      </c>
      <c r="I243" s="328">
        <f>'[2]Invoeren'!M236</f>
        <v>0</v>
      </c>
      <c r="J243" s="329">
        <f>'[2]Invoeren'!N236</f>
        <v>0</v>
      </c>
      <c r="K243" s="330">
        <f>'[2]Invoeren'!$C236</f>
        <v>0</v>
      </c>
      <c r="L243" s="324">
        <f>'[2]Invoeren'!AI237</f>
        <v>0</v>
      </c>
      <c r="M243" s="324">
        <f>'[2]Invoeren'!BC237</f>
        <v>0</v>
      </c>
      <c r="N243" s="324">
        <f>'[2]Invoeren'!BW237</f>
        <v>0</v>
      </c>
      <c r="O243" s="324">
        <f>'[2]Invoeren'!CQ237</f>
        <v>0</v>
      </c>
    </row>
    <row r="244" spans="1:15" ht="12.75">
      <c r="A244" s="325">
        <f>'[2]Invoeren'!B238</f>
        <v>1</v>
      </c>
      <c r="B244" s="326">
        <f>'[2]Invoeren'!A237</f>
        <v>231</v>
      </c>
      <c r="C244" s="347">
        <f>'[2]Invoeren'!$G237</f>
        <v>0</v>
      </c>
      <c r="D244" s="348">
        <f>'[2]Invoeren'!D237</f>
        <v>0</v>
      </c>
      <c r="E244" s="348">
        <f>'[2]Invoeren'!E237</f>
        <v>0</v>
      </c>
      <c r="F244" s="348">
        <f>'[2]Invoeren'!$I237</f>
        <v>0</v>
      </c>
      <c r="G244" s="329">
        <f>'[2]Invoeren'!$H237</f>
        <v>0</v>
      </c>
      <c r="H244" s="327">
        <f>'[2]Invoeren'!L237</f>
        <v>0</v>
      </c>
      <c r="I244" s="328">
        <f>'[2]Invoeren'!M237</f>
        <v>0</v>
      </c>
      <c r="J244" s="329">
        <f>'[2]Invoeren'!N237</f>
        <v>0</v>
      </c>
      <c r="K244" s="330">
        <f>'[2]Invoeren'!$C237</f>
        <v>0</v>
      </c>
      <c r="L244" s="324">
        <f>'[2]Invoeren'!AI238</f>
        <v>0</v>
      </c>
      <c r="M244" s="324">
        <f>'[2]Invoeren'!BC238</f>
        <v>0</v>
      </c>
      <c r="N244" s="324">
        <f>'[2]Invoeren'!BW238</f>
        <v>0</v>
      </c>
      <c r="O244" s="324">
        <f>'[2]Invoeren'!CQ238</f>
        <v>0</v>
      </c>
    </row>
    <row r="245" spans="1:15" ht="12.75">
      <c r="A245" s="325">
        <f>'[2]Invoeren'!B239</f>
        <v>1</v>
      </c>
      <c r="B245" s="326">
        <f>'[2]Invoeren'!A238</f>
        <v>232</v>
      </c>
      <c r="C245" s="347">
        <f>'[2]Invoeren'!$G238</f>
        <v>0</v>
      </c>
      <c r="D245" s="348">
        <f>'[2]Invoeren'!D238</f>
        <v>0</v>
      </c>
      <c r="E245" s="348">
        <f>'[2]Invoeren'!E238</f>
        <v>0</v>
      </c>
      <c r="F245" s="348">
        <f>'[2]Invoeren'!$I238</f>
        <v>0</v>
      </c>
      <c r="G245" s="329">
        <f>'[2]Invoeren'!$H238</f>
        <v>0</v>
      </c>
      <c r="H245" s="327">
        <f>'[2]Invoeren'!L238</f>
        <v>0</v>
      </c>
      <c r="I245" s="328">
        <f>'[2]Invoeren'!M238</f>
        <v>0</v>
      </c>
      <c r="J245" s="329">
        <f>'[2]Invoeren'!N238</f>
        <v>0</v>
      </c>
      <c r="K245" s="330">
        <f>'[2]Invoeren'!$C238</f>
        <v>0</v>
      </c>
      <c r="L245" s="324">
        <f>'[2]Invoeren'!AI239</f>
        <v>0</v>
      </c>
      <c r="M245" s="324">
        <f>'[2]Invoeren'!BC239</f>
        <v>0</v>
      </c>
      <c r="N245" s="324">
        <f>'[2]Invoeren'!BW239</f>
        <v>0</v>
      </c>
      <c r="O245" s="324">
        <f>'[2]Invoeren'!CQ239</f>
        <v>0</v>
      </c>
    </row>
    <row r="246" spans="1:15" ht="12.75">
      <c r="A246" s="325">
        <f>'[2]Invoeren'!B240</f>
        <v>1</v>
      </c>
      <c r="B246" s="326">
        <f>'[2]Invoeren'!A239</f>
        <v>233</v>
      </c>
      <c r="C246" s="347">
        <f>'[2]Invoeren'!$G239</f>
        <v>0</v>
      </c>
      <c r="D246" s="348">
        <f>'[2]Invoeren'!D239</f>
        <v>0</v>
      </c>
      <c r="E246" s="348">
        <f>'[2]Invoeren'!E239</f>
        <v>0</v>
      </c>
      <c r="F246" s="348">
        <f>'[2]Invoeren'!$I239</f>
        <v>0</v>
      </c>
      <c r="G246" s="329">
        <f>'[2]Invoeren'!$H239</f>
        <v>0</v>
      </c>
      <c r="H246" s="327">
        <f>'[2]Invoeren'!L239</f>
        <v>0</v>
      </c>
      <c r="I246" s="328">
        <f>'[2]Invoeren'!M239</f>
        <v>0</v>
      </c>
      <c r="J246" s="329">
        <f>'[2]Invoeren'!N239</f>
        <v>0</v>
      </c>
      <c r="K246" s="330">
        <f>'[2]Invoeren'!$C239</f>
        <v>0</v>
      </c>
      <c r="L246" s="324">
        <f>'[2]Invoeren'!AI240</f>
        <v>0</v>
      </c>
      <c r="M246" s="324">
        <f>'[2]Invoeren'!BC240</f>
        <v>0</v>
      </c>
      <c r="N246" s="324">
        <f>'[2]Invoeren'!BW240</f>
        <v>0</v>
      </c>
      <c r="O246" s="324">
        <f>'[2]Invoeren'!CQ240</f>
        <v>0</v>
      </c>
    </row>
    <row r="247" spans="1:15" ht="12.75">
      <c r="A247" s="325">
        <f>'[2]Invoeren'!B241</f>
        <v>1</v>
      </c>
      <c r="B247" s="326">
        <f>'[2]Invoeren'!A240</f>
        <v>234</v>
      </c>
      <c r="C247" s="347">
        <f>'[2]Invoeren'!$G240</f>
        <v>0</v>
      </c>
      <c r="D247" s="348">
        <f>'[2]Invoeren'!D240</f>
        <v>0</v>
      </c>
      <c r="E247" s="348">
        <f>'[2]Invoeren'!E240</f>
        <v>0</v>
      </c>
      <c r="F247" s="348">
        <f>'[2]Invoeren'!$I240</f>
        <v>0</v>
      </c>
      <c r="G247" s="329">
        <f>'[2]Invoeren'!$H240</f>
        <v>0</v>
      </c>
      <c r="H247" s="327">
        <f>'[2]Invoeren'!L240</f>
        <v>0</v>
      </c>
      <c r="I247" s="328">
        <f>'[2]Invoeren'!M240</f>
        <v>0</v>
      </c>
      <c r="J247" s="329">
        <f>'[2]Invoeren'!N240</f>
        <v>0</v>
      </c>
      <c r="K247" s="330">
        <f>'[2]Invoeren'!$C240</f>
        <v>0</v>
      </c>
      <c r="L247" s="324">
        <f>'[2]Invoeren'!AI241</f>
        <v>0</v>
      </c>
      <c r="M247" s="324">
        <f>'[2]Invoeren'!BC241</f>
        <v>0</v>
      </c>
      <c r="N247" s="324">
        <f>'[2]Invoeren'!BW241</f>
        <v>0</v>
      </c>
      <c r="O247" s="324">
        <f>'[2]Invoeren'!CQ241</f>
        <v>0</v>
      </c>
    </row>
    <row r="248" spans="1:15" ht="12.75">
      <c r="A248" s="325">
        <f>'[2]Invoeren'!B242</f>
        <v>1</v>
      </c>
      <c r="B248" s="326">
        <f>'[2]Invoeren'!A241</f>
        <v>235</v>
      </c>
      <c r="C248" s="347">
        <f>'[2]Invoeren'!$G241</f>
        <v>0</v>
      </c>
      <c r="D248" s="348">
        <f>'[2]Invoeren'!D241</f>
        <v>0</v>
      </c>
      <c r="E248" s="348">
        <f>'[2]Invoeren'!E241</f>
        <v>0</v>
      </c>
      <c r="F248" s="348">
        <f>'[2]Invoeren'!$I241</f>
        <v>0</v>
      </c>
      <c r="G248" s="329">
        <f>'[2]Invoeren'!$H241</f>
        <v>0</v>
      </c>
      <c r="H248" s="327">
        <f>'[2]Invoeren'!L241</f>
        <v>0</v>
      </c>
      <c r="I248" s="328">
        <f>'[2]Invoeren'!M241</f>
        <v>0</v>
      </c>
      <c r="J248" s="329">
        <f>'[2]Invoeren'!N241</f>
        <v>0</v>
      </c>
      <c r="K248" s="330">
        <f>'[2]Invoeren'!$C241</f>
        <v>0</v>
      </c>
      <c r="L248" s="324">
        <f>'[2]Invoeren'!AI242</f>
        <v>0</v>
      </c>
      <c r="M248" s="324">
        <f>'[2]Invoeren'!BC242</f>
        <v>0</v>
      </c>
      <c r="N248" s="324">
        <f>'[2]Invoeren'!BW242</f>
        <v>0</v>
      </c>
      <c r="O248" s="324">
        <f>'[2]Invoeren'!CQ242</f>
        <v>0</v>
      </c>
    </row>
    <row r="249" spans="1:15" ht="12.75">
      <c r="A249" s="325">
        <f>'[2]Invoeren'!B243</f>
        <v>1</v>
      </c>
      <c r="B249" s="326">
        <f>'[2]Invoeren'!A242</f>
        <v>236</v>
      </c>
      <c r="C249" s="347">
        <f>'[2]Invoeren'!$G242</f>
        <v>0</v>
      </c>
      <c r="D249" s="348">
        <f>'[2]Invoeren'!D242</f>
        <v>0</v>
      </c>
      <c r="E249" s="348">
        <f>'[2]Invoeren'!E242</f>
        <v>0</v>
      </c>
      <c r="F249" s="348">
        <f>'[2]Invoeren'!$I242</f>
        <v>0</v>
      </c>
      <c r="G249" s="329">
        <f>'[2]Invoeren'!$H242</f>
        <v>0</v>
      </c>
      <c r="H249" s="327">
        <f>'[2]Invoeren'!L242</f>
        <v>0</v>
      </c>
      <c r="I249" s="328">
        <f>'[2]Invoeren'!M242</f>
        <v>0</v>
      </c>
      <c r="J249" s="329">
        <f>'[2]Invoeren'!N242</f>
        <v>0</v>
      </c>
      <c r="K249" s="330">
        <f>'[2]Invoeren'!$C242</f>
        <v>0</v>
      </c>
      <c r="L249" s="324">
        <f>'[2]Invoeren'!AI243</f>
        <v>0</v>
      </c>
      <c r="M249" s="324">
        <f>'[2]Invoeren'!BC243</f>
        <v>0</v>
      </c>
      <c r="N249" s="324">
        <f>'[2]Invoeren'!BW243</f>
        <v>0</v>
      </c>
      <c r="O249" s="324">
        <f>'[2]Invoeren'!CQ243</f>
        <v>0</v>
      </c>
    </row>
    <row r="250" spans="1:15" ht="12.75">
      <c r="A250" s="325">
        <f>'[2]Invoeren'!B244</f>
        <v>1</v>
      </c>
      <c r="B250" s="326">
        <f>'[2]Invoeren'!A243</f>
        <v>237</v>
      </c>
      <c r="C250" s="347">
        <f>'[2]Invoeren'!$G243</f>
        <v>0</v>
      </c>
      <c r="D250" s="348">
        <f>'[2]Invoeren'!D243</f>
        <v>0</v>
      </c>
      <c r="E250" s="348">
        <f>'[2]Invoeren'!E243</f>
        <v>0</v>
      </c>
      <c r="F250" s="348">
        <f>'[2]Invoeren'!$I243</f>
        <v>0</v>
      </c>
      <c r="G250" s="329">
        <f>'[2]Invoeren'!$H243</f>
        <v>0</v>
      </c>
      <c r="H250" s="327">
        <f>'[2]Invoeren'!L243</f>
        <v>0</v>
      </c>
      <c r="I250" s="328">
        <f>'[2]Invoeren'!M243</f>
        <v>0</v>
      </c>
      <c r="J250" s="329">
        <f>'[2]Invoeren'!N243</f>
        <v>0</v>
      </c>
      <c r="K250" s="330">
        <f>'[2]Invoeren'!$C243</f>
        <v>0</v>
      </c>
      <c r="L250" s="324">
        <f>'[2]Invoeren'!AI244</f>
        <v>0</v>
      </c>
      <c r="M250" s="324">
        <f>'[2]Invoeren'!BC244</f>
        <v>0</v>
      </c>
      <c r="N250" s="324">
        <f>'[2]Invoeren'!BW244</f>
        <v>0</v>
      </c>
      <c r="O250" s="324">
        <f>'[2]Invoeren'!CQ244</f>
        <v>0</v>
      </c>
    </row>
    <row r="251" spans="1:15" ht="12.75">
      <c r="A251" s="325">
        <f>'[2]Invoeren'!B245</f>
        <v>1</v>
      </c>
      <c r="B251" s="326">
        <f>'[2]Invoeren'!A244</f>
        <v>238</v>
      </c>
      <c r="C251" s="347">
        <f>'[2]Invoeren'!$G244</f>
        <v>0</v>
      </c>
      <c r="D251" s="348">
        <f>'[2]Invoeren'!D244</f>
        <v>0</v>
      </c>
      <c r="E251" s="348">
        <f>'[2]Invoeren'!E244</f>
        <v>0</v>
      </c>
      <c r="F251" s="348">
        <f>'[2]Invoeren'!$I244</f>
        <v>0</v>
      </c>
      <c r="G251" s="329">
        <f>'[2]Invoeren'!$H244</f>
        <v>0</v>
      </c>
      <c r="H251" s="327">
        <f>'[2]Invoeren'!L244</f>
        <v>0</v>
      </c>
      <c r="I251" s="328">
        <f>'[2]Invoeren'!M244</f>
        <v>0</v>
      </c>
      <c r="J251" s="329">
        <f>'[2]Invoeren'!N244</f>
        <v>0</v>
      </c>
      <c r="K251" s="330">
        <f>'[2]Invoeren'!$C244</f>
        <v>0</v>
      </c>
      <c r="L251" s="324">
        <f>'[2]Invoeren'!AI245</f>
        <v>0</v>
      </c>
      <c r="M251" s="324">
        <f>'[2]Invoeren'!BC245</f>
        <v>0</v>
      </c>
      <c r="N251" s="324">
        <f>'[2]Invoeren'!BW245</f>
        <v>0</v>
      </c>
      <c r="O251" s="324">
        <f>'[2]Invoeren'!CQ245</f>
        <v>0</v>
      </c>
    </row>
    <row r="252" spans="1:15" ht="12.75">
      <c r="A252" s="325">
        <f>'[2]Invoeren'!B246</f>
        <v>1</v>
      </c>
      <c r="B252" s="326">
        <f>'[2]Invoeren'!A245</f>
        <v>239</v>
      </c>
      <c r="C252" s="347">
        <f>'[2]Invoeren'!$G245</f>
        <v>0</v>
      </c>
      <c r="D252" s="348">
        <f>'[2]Invoeren'!D245</f>
        <v>0</v>
      </c>
      <c r="E252" s="348">
        <f>'[2]Invoeren'!E245</f>
        <v>0</v>
      </c>
      <c r="F252" s="348">
        <f>'[2]Invoeren'!$I245</f>
        <v>0</v>
      </c>
      <c r="G252" s="329">
        <f>'[2]Invoeren'!$H245</f>
        <v>0</v>
      </c>
      <c r="H252" s="327">
        <f>'[2]Invoeren'!L245</f>
        <v>0</v>
      </c>
      <c r="I252" s="328">
        <f>'[2]Invoeren'!M245</f>
        <v>0</v>
      </c>
      <c r="J252" s="329">
        <f>'[2]Invoeren'!N245</f>
        <v>0</v>
      </c>
      <c r="K252" s="330">
        <f>'[2]Invoeren'!$C245</f>
        <v>0</v>
      </c>
      <c r="L252" s="324">
        <f>'[2]Invoeren'!AI246</f>
        <v>0</v>
      </c>
      <c r="M252" s="324">
        <f>'[2]Invoeren'!BC246</f>
        <v>0</v>
      </c>
      <c r="N252" s="324">
        <f>'[2]Invoeren'!BW246</f>
        <v>0</v>
      </c>
      <c r="O252" s="324">
        <f>'[2]Invoeren'!CQ246</f>
        <v>0</v>
      </c>
    </row>
    <row r="253" spans="1:15" ht="12.75">
      <c r="A253" s="325">
        <f>'[2]Invoeren'!B247</f>
        <v>1</v>
      </c>
      <c r="B253" s="326">
        <f>'[2]Invoeren'!A246</f>
        <v>240</v>
      </c>
      <c r="C253" s="347">
        <f>'[2]Invoeren'!$G246</f>
        <v>0</v>
      </c>
      <c r="D253" s="348">
        <f>'[2]Invoeren'!D246</f>
        <v>0</v>
      </c>
      <c r="E253" s="348">
        <f>'[2]Invoeren'!E246</f>
        <v>0</v>
      </c>
      <c r="F253" s="348">
        <f>'[2]Invoeren'!$I246</f>
        <v>0</v>
      </c>
      <c r="G253" s="329">
        <f>'[2]Invoeren'!$H246</f>
        <v>0</v>
      </c>
      <c r="H253" s="327">
        <f>'[2]Invoeren'!L246</f>
        <v>0</v>
      </c>
      <c r="I253" s="328">
        <f>'[2]Invoeren'!M246</f>
        <v>0</v>
      </c>
      <c r="J253" s="329">
        <f>'[2]Invoeren'!N246</f>
        <v>0</v>
      </c>
      <c r="K253" s="330">
        <f>'[2]Invoeren'!$C246</f>
        <v>0</v>
      </c>
      <c r="L253" s="324">
        <f>'[2]Invoeren'!AI247</f>
        <v>0</v>
      </c>
      <c r="M253" s="324">
        <f>'[2]Invoeren'!BC247</f>
        <v>0</v>
      </c>
      <c r="N253" s="324">
        <f>'[2]Invoeren'!BW247</f>
        <v>0</v>
      </c>
      <c r="O253" s="324">
        <f>'[2]Invoeren'!CQ247</f>
        <v>0</v>
      </c>
    </row>
    <row r="254" spans="1:15" ht="12.75">
      <c r="A254" s="325">
        <f>'[2]Invoeren'!B248</f>
        <v>1</v>
      </c>
      <c r="B254" s="326">
        <f>'[2]Invoeren'!A247</f>
        <v>241</v>
      </c>
      <c r="C254" s="347">
        <f>'[2]Invoeren'!$G247</f>
        <v>0</v>
      </c>
      <c r="D254" s="348">
        <f>'[2]Invoeren'!D247</f>
        <v>0</v>
      </c>
      <c r="E254" s="348">
        <f>'[2]Invoeren'!E247</f>
        <v>0</v>
      </c>
      <c r="F254" s="348">
        <f>'[2]Invoeren'!$I247</f>
        <v>0</v>
      </c>
      <c r="G254" s="329">
        <f>'[2]Invoeren'!$H247</f>
        <v>0</v>
      </c>
      <c r="H254" s="327">
        <f>'[2]Invoeren'!L247</f>
        <v>0</v>
      </c>
      <c r="I254" s="328">
        <f>'[2]Invoeren'!M247</f>
        <v>0</v>
      </c>
      <c r="J254" s="329">
        <f>'[2]Invoeren'!N247</f>
        <v>0</v>
      </c>
      <c r="K254" s="330">
        <f>'[2]Invoeren'!$C247</f>
        <v>0</v>
      </c>
      <c r="L254" s="324">
        <f>'[2]Invoeren'!AI248</f>
        <v>0</v>
      </c>
      <c r="M254" s="324">
        <f>'[2]Invoeren'!BC248</f>
        <v>0</v>
      </c>
      <c r="N254" s="324">
        <f>'[2]Invoeren'!BW248</f>
        <v>0</v>
      </c>
      <c r="O254" s="324">
        <f>'[2]Invoeren'!CQ248</f>
        <v>0</v>
      </c>
    </row>
    <row r="255" spans="1:15" ht="12.75">
      <c r="A255" s="325">
        <f>'[2]Invoeren'!B249</f>
        <v>1</v>
      </c>
      <c r="B255" s="326">
        <f>'[2]Invoeren'!A248</f>
        <v>242</v>
      </c>
      <c r="C255" s="347">
        <f>'[2]Invoeren'!$G248</f>
        <v>0</v>
      </c>
      <c r="D255" s="348">
        <f>'[2]Invoeren'!D248</f>
        <v>0</v>
      </c>
      <c r="E255" s="348">
        <f>'[2]Invoeren'!E248</f>
        <v>0</v>
      </c>
      <c r="F255" s="348">
        <f>'[2]Invoeren'!$I248</f>
        <v>0</v>
      </c>
      <c r="G255" s="329">
        <f>'[2]Invoeren'!$H248</f>
        <v>0</v>
      </c>
      <c r="H255" s="327">
        <f>'[2]Invoeren'!L248</f>
        <v>0</v>
      </c>
      <c r="I255" s="328">
        <f>'[2]Invoeren'!M248</f>
        <v>0</v>
      </c>
      <c r="J255" s="329">
        <f>'[2]Invoeren'!N248</f>
        <v>0</v>
      </c>
      <c r="K255" s="330">
        <f>'[2]Invoeren'!$C248</f>
        <v>0</v>
      </c>
      <c r="L255" s="324">
        <f>'[2]Invoeren'!AI249</f>
        <v>0</v>
      </c>
      <c r="M255" s="324">
        <f>'[2]Invoeren'!BC249</f>
        <v>0</v>
      </c>
      <c r="N255" s="324">
        <f>'[2]Invoeren'!BW249</f>
        <v>0</v>
      </c>
      <c r="O255" s="324">
        <f>'[2]Invoeren'!CQ249</f>
        <v>0</v>
      </c>
    </row>
    <row r="256" spans="1:15" ht="12.75">
      <c r="A256" s="325">
        <f>'[2]Invoeren'!B250</f>
        <v>1</v>
      </c>
      <c r="B256" s="326">
        <f>'[2]Invoeren'!A249</f>
        <v>243</v>
      </c>
      <c r="C256" s="347">
        <f>'[2]Invoeren'!$G249</f>
        <v>0</v>
      </c>
      <c r="D256" s="348">
        <f>'[2]Invoeren'!D249</f>
        <v>0</v>
      </c>
      <c r="E256" s="348">
        <f>'[2]Invoeren'!E249</f>
        <v>0</v>
      </c>
      <c r="F256" s="348">
        <f>'[2]Invoeren'!$I249</f>
        <v>0</v>
      </c>
      <c r="G256" s="329">
        <f>'[2]Invoeren'!$H249</f>
        <v>0</v>
      </c>
      <c r="H256" s="327">
        <f>'[2]Invoeren'!L249</f>
        <v>0</v>
      </c>
      <c r="I256" s="328">
        <f>'[2]Invoeren'!M249</f>
        <v>0</v>
      </c>
      <c r="J256" s="329">
        <f>'[2]Invoeren'!N249</f>
        <v>0</v>
      </c>
      <c r="K256" s="330">
        <f>'[2]Invoeren'!$C249</f>
        <v>0</v>
      </c>
      <c r="L256" s="324">
        <f>'[2]Invoeren'!AI250</f>
        <v>0</v>
      </c>
      <c r="M256" s="324">
        <f>'[2]Invoeren'!BC250</f>
        <v>0</v>
      </c>
      <c r="N256" s="324">
        <f>'[2]Invoeren'!BW250</f>
        <v>0</v>
      </c>
      <c r="O256" s="324">
        <f>'[2]Invoeren'!CQ250</f>
        <v>0</v>
      </c>
    </row>
    <row r="257" spans="1:15" ht="12.75">
      <c r="A257" s="325">
        <f>'[2]Invoeren'!B251</f>
        <v>1</v>
      </c>
      <c r="B257" s="326">
        <f>'[2]Invoeren'!A250</f>
        <v>244</v>
      </c>
      <c r="C257" s="347">
        <f>'[2]Invoeren'!$G250</f>
        <v>0</v>
      </c>
      <c r="D257" s="348">
        <f>'[2]Invoeren'!D250</f>
        <v>0</v>
      </c>
      <c r="E257" s="348">
        <f>'[2]Invoeren'!E250</f>
        <v>0</v>
      </c>
      <c r="F257" s="348">
        <f>'[2]Invoeren'!$I250</f>
        <v>0</v>
      </c>
      <c r="G257" s="329">
        <f>'[2]Invoeren'!$H250</f>
        <v>0</v>
      </c>
      <c r="H257" s="327">
        <f>'[2]Invoeren'!L250</f>
        <v>0</v>
      </c>
      <c r="I257" s="328">
        <f>'[2]Invoeren'!M250</f>
        <v>0</v>
      </c>
      <c r="J257" s="329">
        <f>'[2]Invoeren'!N250</f>
        <v>0</v>
      </c>
      <c r="K257" s="330">
        <f>'[2]Invoeren'!$C250</f>
        <v>0</v>
      </c>
      <c r="L257" s="324">
        <f>'[2]Invoeren'!AI251</f>
        <v>0</v>
      </c>
      <c r="M257" s="324">
        <f>'[2]Invoeren'!BC251</f>
        <v>0</v>
      </c>
      <c r="N257" s="324">
        <f>'[2]Invoeren'!BW251</f>
        <v>0</v>
      </c>
      <c r="O257" s="324">
        <f>'[2]Invoeren'!CQ251</f>
        <v>0</v>
      </c>
    </row>
    <row r="258" spans="1:15" ht="12.75">
      <c r="A258" s="325">
        <f>'[2]Invoeren'!B252</f>
        <v>1</v>
      </c>
      <c r="B258" s="326">
        <f>'[2]Invoeren'!A251</f>
        <v>245</v>
      </c>
      <c r="C258" s="347">
        <f>'[2]Invoeren'!$G251</f>
        <v>0</v>
      </c>
      <c r="D258" s="348">
        <f>'[2]Invoeren'!D251</f>
        <v>0</v>
      </c>
      <c r="E258" s="348">
        <f>'[2]Invoeren'!E251</f>
        <v>0</v>
      </c>
      <c r="F258" s="348">
        <f>'[2]Invoeren'!$I251</f>
        <v>0</v>
      </c>
      <c r="G258" s="329">
        <f>'[2]Invoeren'!$H251</f>
        <v>0</v>
      </c>
      <c r="H258" s="327">
        <f>'[2]Invoeren'!L251</f>
        <v>0</v>
      </c>
      <c r="I258" s="328">
        <f>'[2]Invoeren'!M251</f>
        <v>0</v>
      </c>
      <c r="J258" s="329">
        <f>'[2]Invoeren'!N251</f>
        <v>0</v>
      </c>
      <c r="K258" s="330">
        <f>'[2]Invoeren'!$C251</f>
        <v>0</v>
      </c>
      <c r="L258" s="324">
        <f>'[2]Invoeren'!AI252</f>
        <v>0</v>
      </c>
      <c r="M258" s="324">
        <f>'[2]Invoeren'!BC252</f>
        <v>0</v>
      </c>
      <c r="N258" s="324">
        <f>'[2]Invoeren'!BW252</f>
        <v>0</v>
      </c>
      <c r="O258" s="324">
        <f>'[2]Invoeren'!CQ252</f>
        <v>0</v>
      </c>
    </row>
    <row r="259" spans="1:15" ht="12.75">
      <c r="A259" s="325">
        <f>'[2]Invoeren'!B253</f>
        <v>1</v>
      </c>
      <c r="B259" s="326">
        <f>'[2]Invoeren'!A252</f>
        <v>246</v>
      </c>
      <c r="C259" s="347">
        <f>'[2]Invoeren'!$G252</f>
        <v>0</v>
      </c>
      <c r="D259" s="348">
        <f>'[2]Invoeren'!D252</f>
        <v>0</v>
      </c>
      <c r="E259" s="348">
        <f>'[2]Invoeren'!E252</f>
        <v>0</v>
      </c>
      <c r="F259" s="348">
        <f>'[2]Invoeren'!$I252</f>
        <v>0</v>
      </c>
      <c r="G259" s="329">
        <f>'[2]Invoeren'!$H252</f>
        <v>0</v>
      </c>
      <c r="H259" s="327">
        <f>'[2]Invoeren'!L252</f>
        <v>0</v>
      </c>
      <c r="I259" s="328">
        <f>'[2]Invoeren'!M252</f>
        <v>0</v>
      </c>
      <c r="J259" s="329">
        <f>'[2]Invoeren'!N252</f>
        <v>0</v>
      </c>
      <c r="K259" s="330">
        <f>'[2]Invoeren'!$C252</f>
        <v>0</v>
      </c>
      <c r="L259" s="324">
        <f>'[2]Invoeren'!AI253</f>
        <v>0</v>
      </c>
      <c r="M259" s="324">
        <f>'[2]Invoeren'!BC253</f>
        <v>0</v>
      </c>
      <c r="N259" s="324">
        <f>'[2]Invoeren'!BW253</f>
        <v>0</v>
      </c>
      <c r="O259" s="324">
        <f>'[2]Invoeren'!CQ253</f>
        <v>0</v>
      </c>
    </row>
    <row r="260" spans="1:15" ht="12.75">
      <c r="A260" s="325">
        <f>'[2]Invoeren'!B254</f>
        <v>1</v>
      </c>
      <c r="B260" s="326">
        <f>'[2]Invoeren'!A253</f>
        <v>247</v>
      </c>
      <c r="C260" s="347">
        <f>'[2]Invoeren'!$G253</f>
        <v>0</v>
      </c>
      <c r="D260" s="348">
        <f>'[2]Invoeren'!D253</f>
        <v>0</v>
      </c>
      <c r="E260" s="348">
        <f>'[2]Invoeren'!E253</f>
        <v>0</v>
      </c>
      <c r="F260" s="348">
        <f>'[2]Invoeren'!$I253</f>
        <v>0</v>
      </c>
      <c r="G260" s="329">
        <f>'[2]Invoeren'!$H253</f>
        <v>0</v>
      </c>
      <c r="H260" s="327">
        <f>'[2]Invoeren'!L253</f>
        <v>0</v>
      </c>
      <c r="I260" s="328">
        <f>'[2]Invoeren'!M253</f>
        <v>0</v>
      </c>
      <c r="J260" s="329">
        <f>'[2]Invoeren'!N253</f>
        <v>0</v>
      </c>
      <c r="K260" s="330">
        <f>'[2]Invoeren'!$C253</f>
        <v>0</v>
      </c>
      <c r="L260" s="324">
        <f>'[2]Invoeren'!AI254</f>
        <v>0</v>
      </c>
      <c r="M260" s="324">
        <f>'[2]Invoeren'!BC254</f>
        <v>0</v>
      </c>
      <c r="N260" s="324">
        <f>'[2]Invoeren'!BW254</f>
        <v>0</v>
      </c>
      <c r="O260" s="324">
        <f>'[2]Invoeren'!CQ254</f>
        <v>0</v>
      </c>
    </row>
    <row r="261" spans="1:15" ht="12.75">
      <c r="A261" s="325">
        <f>'[2]Invoeren'!B255</f>
        <v>1</v>
      </c>
      <c r="B261" s="326">
        <f>'[2]Invoeren'!A254</f>
        <v>248</v>
      </c>
      <c r="C261" s="347">
        <f>'[2]Invoeren'!$G254</f>
        <v>0</v>
      </c>
      <c r="D261" s="348">
        <f>'[2]Invoeren'!D254</f>
        <v>0</v>
      </c>
      <c r="E261" s="348">
        <f>'[2]Invoeren'!E254</f>
        <v>0</v>
      </c>
      <c r="F261" s="348">
        <f>'[2]Invoeren'!$I254</f>
        <v>0</v>
      </c>
      <c r="G261" s="329">
        <f>'[2]Invoeren'!$H254</f>
        <v>0</v>
      </c>
      <c r="H261" s="327">
        <f>'[2]Invoeren'!L254</f>
        <v>0</v>
      </c>
      <c r="I261" s="328">
        <f>'[2]Invoeren'!M254</f>
        <v>0</v>
      </c>
      <c r="J261" s="329">
        <f>'[2]Invoeren'!N254</f>
        <v>0</v>
      </c>
      <c r="K261" s="330">
        <f>'[2]Invoeren'!$C254</f>
        <v>0</v>
      </c>
      <c r="L261" s="324">
        <f>'[2]Invoeren'!AI255</f>
        <v>0</v>
      </c>
      <c r="M261" s="324">
        <f>'[2]Invoeren'!BC255</f>
        <v>0</v>
      </c>
      <c r="N261" s="324">
        <f>'[2]Invoeren'!BW255</f>
        <v>0</v>
      </c>
      <c r="O261" s="324">
        <f>'[2]Invoeren'!CQ255</f>
        <v>0</v>
      </c>
    </row>
    <row r="262" spans="1:15" ht="12.75">
      <c r="A262" s="349">
        <f>'[2]Invoeren'!B256</f>
        <v>1</v>
      </c>
      <c r="B262" s="326">
        <f>'[2]Invoeren'!A255</f>
        <v>249</v>
      </c>
      <c r="C262" s="347">
        <f>'[2]Invoeren'!$G255</f>
        <v>0</v>
      </c>
      <c r="D262" s="348">
        <f>'[2]Invoeren'!D255</f>
        <v>0</v>
      </c>
      <c r="E262" s="348">
        <f>'[2]Invoeren'!E255</f>
        <v>0</v>
      </c>
      <c r="F262" s="348">
        <f>'[2]Invoeren'!$I255</f>
        <v>0</v>
      </c>
      <c r="G262" s="329">
        <f>'[2]Invoeren'!$H255</f>
        <v>0</v>
      </c>
      <c r="H262" s="327">
        <f>'[2]Invoeren'!L255</f>
        <v>0</v>
      </c>
      <c r="I262" s="328">
        <f>'[2]Invoeren'!M255</f>
        <v>0</v>
      </c>
      <c r="J262" s="329">
        <f>'[2]Invoeren'!N255</f>
        <v>0</v>
      </c>
      <c r="K262" s="330">
        <f>'[2]Invoeren'!$C255</f>
        <v>0</v>
      </c>
      <c r="L262" s="350">
        <f>'[2]Invoeren'!AI256</f>
        <v>0</v>
      </c>
      <c r="M262" s="350">
        <f>'[2]Invoeren'!BC256</f>
        <v>0</v>
      </c>
      <c r="N262" s="350">
        <f>'[2]Invoeren'!BW256</f>
        <v>0</v>
      </c>
      <c r="O262" s="350">
        <f>'[2]Invoeren'!CQ256</f>
        <v>0</v>
      </c>
    </row>
    <row r="263" spans="2:11" ht="12.75">
      <c r="B263" s="351">
        <f>'[2]Invoeren'!A256</f>
        <v>250</v>
      </c>
      <c r="C263" s="352">
        <f>'[2]Invoeren'!$G256</f>
        <v>0</v>
      </c>
      <c r="D263" s="353">
        <f>'[2]Invoeren'!D256</f>
        <v>0</v>
      </c>
      <c r="E263" s="353">
        <f>'[2]Invoeren'!E256</f>
        <v>0</v>
      </c>
      <c r="F263" s="353">
        <f>'[2]Invoeren'!$I256</f>
        <v>0</v>
      </c>
      <c r="G263" s="354">
        <f>'[2]Invoeren'!$H256</f>
        <v>0</v>
      </c>
      <c r="H263" s="355">
        <f>'[2]Invoeren'!L256</f>
        <v>0</v>
      </c>
      <c r="I263" s="356">
        <f>'[2]Invoeren'!M256</f>
        <v>0</v>
      </c>
      <c r="J263" s="354">
        <f>'[2]Invoeren'!N256</f>
        <v>0</v>
      </c>
      <c r="K263" s="357">
        <f>'[2]Invoeren'!$C256</f>
        <v>0</v>
      </c>
    </row>
  </sheetData>
  <sheetProtection selectLockedCells="1" selectUnlockedCells="1"/>
  <mergeCells count="9">
    <mergeCell ref="N8:O8"/>
    <mergeCell ref="L11:O11"/>
    <mergeCell ref="M1:N1"/>
    <mergeCell ref="M2:N2"/>
    <mergeCell ref="B5:D5"/>
    <mergeCell ref="F5:H5"/>
    <mergeCell ref="I6:J6"/>
    <mergeCell ref="H7:I7"/>
    <mergeCell ref="N7:O7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Q24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34.00390625" style="0" customWidth="1"/>
    <col min="4" max="4" width="12.375" style="0" customWidth="1"/>
    <col min="5" max="5" width="8.00390625" style="0" customWidth="1"/>
    <col min="6" max="6" width="5.125" style="0" customWidth="1"/>
    <col min="7" max="10" width="4.875" style="0" customWidth="1"/>
    <col min="11" max="11" width="5.625" style="0" customWidth="1"/>
    <col min="12" max="12" width="4.875" style="0" customWidth="1"/>
    <col min="13" max="13" width="11.00390625" style="0" customWidth="1"/>
    <col min="14" max="14" width="4.375" style="0" customWidth="1"/>
    <col min="15" max="15" width="3.75390625" style="0" customWidth="1"/>
    <col min="16" max="16" width="9.75390625" style="0" customWidth="1"/>
    <col min="17" max="17" width="3.375" style="0" customWidth="1"/>
  </cols>
  <sheetData>
    <row r="1" spans="2:16" s="93" customFormat="1" ht="15.75">
      <c r="B1" s="94" t="s">
        <v>65</v>
      </c>
      <c r="C1" s="95"/>
      <c r="D1" s="95"/>
      <c r="E1" s="96"/>
      <c r="M1" s="97" t="s">
        <v>66</v>
      </c>
      <c r="N1" s="367">
        <v>41805</v>
      </c>
      <c r="O1" s="367"/>
      <c r="P1" s="367"/>
    </row>
    <row r="2" spans="2:16" s="93" customFormat="1" ht="15.75">
      <c r="B2" s="98" t="s">
        <v>67</v>
      </c>
      <c r="C2" s="95"/>
      <c r="D2" s="99" t="s">
        <v>68</v>
      </c>
      <c r="E2" s="96"/>
      <c r="M2" s="100" t="s">
        <v>69</v>
      </c>
      <c r="N2" s="368" t="s">
        <v>70</v>
      </c>
      <c r="O2" s="368"/>
      <c r="P2" s="368"/>
    </row>
    <row r="3" spans="2:16" s="93" customFormat="1" ht="15.75">
      <c r="B3" s="101" t="s">
        <v>71</v>
      </c>
      <c r="C3" s="101" t="s">
        <v>72</v>
      </c>
      <c r="D3" s="102"/>
      <c r="E3" s="103"/>
      <c r="F3" s="104"/>
      <c r="G3" s="104"/>
      <c r="H3" s="104"/>
      <c r="I3" s="104"/>
      <c r="J3" s="104"/>
      <c r="K3" s="104"/>
      <c r="P3" s="105"/>
    </row>
    <row r="4" spans="2:17" s="106" customFormat="1" ht="5.25" customHeight="1">
      <c r="B4" s="107"/>
      <c r="C4" s="107"/>
      <c r="D4" s="108"/>
      <c r="E4" s="109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10"/>
      <c r="Q4" s="107"/>
    </row>
    <row r="5" spans="2:17" s="106" customFormat="1" ht="15.75">
      <c r="B5" s="111"/>
      <c r="C5" s="112" t="s">
        <v>73</v>
      </c>
      <c r="D5" s="113"/>
      <c r="E5" s="114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5"/>
      <c r="Q5" s="111"/>
    </row>
    <row r="6" spans="2:17" s="106" customFormat="1" ht="4.5" customHeight="1">
      <c r="B6" s="111"/>
      <c r="C6" s="111"/>
      <c r="D6" s="113"/>
      <c r="E6" s="114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5"/>
      <c r="Q6" s="111"/>
    </row>
    <row r="7" spans="2:17" s="106" customFormat="1" ht="15">
      <c r="B7" s="106" t="s">
        <v>74</v>
      </c>
      <c r="C7" s="116" t="s">
        <v>18</v>
      </c>
      <c r="D7" s="117" t="s">
        <v>75</v>
      </c>
      <c r="E7" s="114" t="s">
        <v>27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5"/>
      <c r="Q7" s="111"/>
    </row>
    <row r="8" spans="2:17" s="106" customFormat="1" ht="15">
      <c r="B8" s="106" t="s">
        <v>76</v>
      </c>
      <c r="C8" s="116" t="s">
        <v>77</v>
      </c>
      <c r="D8" s="118" t="s">
        <v>78</v>
      </c>
      <c r="E8" s="119"/>
      <c r="F8" s="120">
        <v>1</v>
      </c>
      <c r="G8" s="120">
        <v>2</v>
      </c>
      <c r="H8" s="120">
        <v>3</v>
      </c>
      <c r="I8" s="120">
        <v>4</v>
      </c>
      <c r="J8" s="120">
        <v>5</v>
      </c>
      <c r="K8" s="121"/>
      <c r="L8" s="121"/>
      <c r="M8" s="121"/>
      <c r="N8" s="121"/>
      <c r="O8" s="121"/>
      <c r="P8" s="122"/>
      <c r="Q8" s="121"/>
    </row>
    <row r="9" spans="2:17" ht="18" customHeight="1">
      <c r="B9" s="123">
        <f>Invoerensolo!$A$5</f>
        <v>1</v>
      </c>
      <c r="C9" s="124" t="str">
        <f>Invoerensolo!$D$5</f>
        <v>ZV Brunssum</v>
      </c>
      <c r="D9" s="125" t="str">
        <f>Invoerensolo!$M$5</f>
        <v>Limburg</v>
      </c>
      <c r="E9" s="126">
        <v>0.3</v>
      </c>
      <c r="F9" s="127"/>
      <c r="G9" s="127"/>
      <c r="H9" s="127"/>
      <c r="I9" s="128"/>
      <c r="J9" s="128"/>
      <c r="K9" s="129"/>
      <c r="L9" s="130" t="s">
        <v>79</v>
      </c>
      <c r="M9" s="131" t="s">
        <v>80</v>
      </c>
      <c r="N9" s="132">
        <f>Invoerensolo!$C$1</f>
        <v>50</v>
      </c>
      <c r="O9" s="133" t="s">
        <v>81</v>
      </c>
      <c r="P9" s="134">
        <f>ROUND(Invoerensolo!$BR$5*Invoerensolo!$C$1/100,4)</f>
        <v>27.1978</v>
      </c>
      <c r="Q9" s="49">
        <f>Invoerensolo!$BT$5</f>
        <v>1</v>
      </c>
    </row>
    <row r="10" spans="2:17" ht="18" customHeight="1">
      <c r="B10" s="135" t="str">
        <f>Invoerensolo!$I$5</f>
        <v>x</v>
      </c>
      <c r="C10" s="135" t="str">
        <f>Invoerensolo!$G$5</f>
        <v>Rachel Hochstenbach</v>
      </c>
      <c r="D10" s="135">
        <f>Invoerensolo!$H$5</f>
        <v>200202062</v>
      </c>
      <c r="E10" s="126">
        <v>0.4</v>
      </c>
      <c r="F10" s="127"/>
      <c r="G10" s="127"/>
      <c r="H10" s="127"/>
      <c r="I10" s="128"/>
      <c r="J10" s="128"/>
      <c r="K10" s="136"/>
      <c r="L10" s="137" t="s">
        <v>82</v>
      </c>
      <c r="M10" s="138" t="s">
        <v>83</v>
      </c>
      <c r="N10" s="139">
        <f>Invoerensolo!$C$3</f>
        <v>0</v>
      </c>
      <c r="O10" s="140" t="s">
        <v>81</v>
      </c>
      <c r="P10" s="141">
        <f>ROUND(Invoerensolo!$O$5*Invoerensolo!$C$3/100,4)</f>
        <v>0</v>
      </c>
      <c r="Q10" s="7">
        <f>Invoerensolo!$P$5</f>
      </c>
    </row>
    <row r="11" spans="2:17" ht="18" customHeight="1">
      <c r="B11" s="135">
        <f>Invoerensolo!$L$5</f>
        <v>0</v>
      </c>
      <c r="C11" s="135">
        <f>Invoerensolo!$J$5</f>
        <v>0</v>
      </c>
      <c r="D11" s="135">
        <f>Invoerensolo!$K$5</f>
        <v>0</v>
      </c>
      <c r="E11" s="126">
        <v>0.3</v>
      </c>
      <c r="F11" s="127"/>
      <c r="G11" s="127"/>
      <c r="H11" s="127"/>
      <c r="I11" s="128"/>
      <c r="J11" s="128"/>
      <c r="K11" s="136"/>
      <c r="L11" s="137" t="s">
        <v>84</v>
      </c>
      <c r="M11" s="142"/>
      <c r="N11" s="142"/>
      <c r="O11" s="143"/>
      <c r="P11" s="143"/>
      <c r="Q11" s="7"/>
    </row>
    <row r="12" spans="2:17" ht="18" customHeight="1">
      <c r="B12" s="135"/>
      <c r="C12" s="135"/>
      <c r="D12" s="135"/>
      <c r="E12" s="142"/>
      <c r="F12" s="142"/>
      <c r="G12" s="144"/>
      <c r="H12" s="144"/>
      <c r="I12" s="145"/>
      <c r="J12" s="145"/>
      <c r="K12" s="146">
        <f>SUM(K9:K11)</f>
        <v>0</v>
      </c>
      <c r="L12" s="142"/>
      <c r="M12" s="142"/>
      <c r="N12" s="142"/>
      <c r="O12" s="143"/>
      <c r="P12" s="143"/>
      <c r="Q12" s="7"/>
    </row>
    <row r="13" spans="2:17" ht="18" customHeight="1">
      <c r="B13" s="135"/>
      <c r="C13" s="135"/>
      <c r="D13" s="135"/>
      <c r="E13" s="142"/>
      <c r="F13" s="142"/>
      <c r="G13" s="135"/>
      <c r="H13" s="135"/>
      <c r="I13" s="147"/>
      <c r="J13" s="148" t="s">
        <v>85</v>
      </c>
      <c r="K13" s="149"/>
      <c r="L13" s="137" t="s">
        <v>86</v>
      </c>
      <c r="M13" s="142"/>
      <c r="N13" s="142"/>
      <c r="O13" s="143"/>
      <c r="P13" s="143"/>
      <c r="Q13" s="7"/>
    </row>
    <row r="14" spans="2:17" ht="18" customHeight="1">
      <c r="B14" s="135"/>
      <c r="C14" s="150" t="s">
        <v>87</v>
      </c>
      <c r="D14" s="49" t="str">
        <f>Invoerensolo!$E$5</f>
        <v>Growing up</v>
      </c>
      <c r="E14" s="151"/>
      <c r="F14" s="142"/>
      <c r="G14" s="135"/>
      <c r="H14" s="135"/>
      <c r="I14" s="147"/>
      <c r="J14" s="106"/>
      <c r="K14" s="152"/>
      <c r="L14" s="142"/>
      <c r="M14" s="148" t="s">
        <v>88</v>
      </c>
      <c r="N14" s="142">
        <f>Invoerensolo!$C$2</f>
        <v>50</v>
      </c>
      <c r="O14" s="153" t="s">
        <v>81</v>
      </c>
      <c r="P14" s="154"/>
      <c r="Q14" s="7">
        <f>Invoerensolo!$R$5</f>
        <v>1</v>
      </c>
    </row>
    <row r="15" spans="2:17" ht="18" customHeight="1">
      <c r="B15" s="135"/>
      <c r="C15" s="150" t="s">
        <v>89</v>
      </c>
      <c r="D15" s="49" t="str">
        <f>Invoerensolo!$F$5</f>
        <v>ZVB</v>
      </c>
      <c r="E15" s="151"/>
      <c r="F15" s="142"/>
      <c r="G15" s="135"/>
      <c r="H15" s="135"/>
      <c r="I15" s="155"/>
      <c r="J15" s="106"/>
      <c r="K15" s="152"/>
      <c r="L15" s="142"/>
      <c r="M15" s="156" t="s">
        <v>17</v>
      </c>
      <c r="N15" s="142"/>
      <c r="O15" s="142"/>
      <c r="P15" s="143">
        <f>P9+P10</f>
        <v>27.1978</v>
      </c>
      <c r="Q15" s="157"/>
    </row>
    <row r="16" spans="2:17" ht="18" customHeight="1">
      <c r="B16" s="11"/>
      <c r="C16" s="158"/>
      <c r="D16" s="151"/>
      <c r="E16" s="158"/>
      <c r="F16" s="11"/>
      <c r="G16" s="11"/>
      <c r="H16" s="11"/>
      <c r="I16" s="11"/>
      <c r="J16" s="11"/>
      <c r="K16" s="11"/>
      <c r="L16" s="11"/>
      <c r="M16" s="159"/>
      <c r="N16" s="160"/>
      <c r="O16" s="158"/>
      <c r="P16" s="158"/>
      <c r="Q16" s="11"/>
    </row>
    <row r="17" spans="2:17" ht="18" customHeight="1">
      <c r="B17" s="155">
        <f>Invoerensolo!$A$6</f>
        <v>2</v>
      </c>
      <c r="C17" s="161" t="str">
        <f>Invoerensolo!$D$6</f>
        <v>SPIO Venray</v>
      </c>
      <c r="D17" s="125" t="str">
        <f>Invoerensolo!$M$6</f>
        <v>Limburg</v>
      </c>
      <c r="E17" s="126">
        <v>0.3</v>
      </c>
      <c r="F17" s="162"/>
      <c r="G17" s="162"/>
      <c r="H17" s="162"/>
      <c r="I17" s="163"/>
      <c r="J17" s="163"/>
      <c r="K17" s="136"/>
      <c r="L17" s="130" t="s">
        <v>79</v>
      </c>
      <c r="M17" s="164" t="s">
        <v>80</v>
      </c>
      <c r="N17" s="165">
        <f>Invoerensolo!$C$1</f>
        <v>50</v>
      </c>
      <c r="O17" s="166" t="s">
        <v>81</v>
      </c>
      <c r="P17" s="167">
        <f>ROUND(Invoerensolo!$BR$6*Invoerensolo!$C$1/100,4)</f>
        <v>23.58</v>
      </c>
      <c r="Q17" s="49">
        <f>Invoerensolo!$BT$6</f>
        <v>1</v>
      </c>
    </row>
    <row r="18" spans="2:17" ht="18" customHeight="1">
      <c r="B18" s="135" t="str">
        <f>Invoerensolo!$I$6</f>
        <v>X</v>
      </c>
      <c r="C18" s="135" t="str">
        <f>Invoerensolo!$G$6</f>
        <v>Vera Andriessen</v>
      </c>
      <c r="D18" s="135">
        <f>Invoerensolo!$H$6</f>
        <v>200200444</v>
      </c>
      <c r="E18" s="126">
        <v>0.4</v>
      </c>
      <c r="F18" s="127"/>
      <c r="G18" s="127"/>
      <c r="H18" s="127"/>
      <c r="I18" s="128"/>
      <c r="J18" s="128"/>
      <c r="K18" s="136"/>
      <c r="L18" s="137" t="s">
        <v>82</v>
      </c>
      <c r="M18" s="138" t="s">
        <v>83</v>
      </c>
      <c r="N18" s="139">
        <f>Invoerensolo!$C$3</f>
        <v>0</v>
      </c>
      <c r="O18" s="140" t="s">
        <v>81</v>
      </c>
      <c r="P18" s="141">
        <f>ROUND(Invoerensolo!$O$6*Invoerensolo!$C$3/100,4)</f>
        <v>0</v>
      </c>
      <c r="Q18" s="7">
        <f>Invoerensolo!$P$6</f>
      </c>
    </row>
    <row r="19" spans="2:17" ht="18" customHeight="1">
      <c r="B19" s="135">
        <f>Invoerensolo!$L$6</f>
        <v>0</v>
      </c>
      <c r="C19" s="135">
        <f>Invoerensolo!$J$6</f>
        <v>0</v>
      </c>
      <c r="D19" s="135">
        <f>Invoerensolo!$K$6</f>
        <v>0</v>
      </c>
      <c r="E19" s="126">
        <v>0.3</v>
      </c>
      <c r="F19" s="127"/>
      <c r="G19" s="127"/>
      <c r="H19" s="127"/>
      <c r="I19" s="128"/>
      <c r="J19" s="128"/>
      <c r="K19" s="136"/>
      <c r="L19" s="137" t="s">
        <v>84</v>
      </c>
      <c r="M19" s="142"/>
      <c r="N19" s="142"/>
      <c r="O19" s="143"/>
      <c r="P19" s="143"/>
      <c r="Q19" s="7"/>
    </row>
    <row r="20" spans="2:17" ht="18" customHeight="1">
      <c r="B20" s="135"/>
      <c r="C20" s="135"/>
      <c r="D20" s="135"/>
      <c r="E20" s="142"/>
      <c r="F20" s="142"/>
      <c r="G20" s="144"/>
      <c r="H20" s="144"/>
      <c r="I20" s="145"/>
      <c r="J20" s="145"/>
      <c r="K20" s="146">
        <f>SUM(K17:K19)</f>
        <v>0</v>
      </c>
      <c r="L20" s="142"/>
      <c r="M20" s="142"/>
      <c r="N20" s="142"/>
      <c r="O20" s="143"/>
      <c r="P20" s="143"/>
      <c r="Q20" s="7"/>
    </row>
    <row r="21" spans="2:17" ht="18" customHeight="1">
      <c r="B21" s="135"/>
      <c r="C21" s="135"/>
      <c r="D21" s="135"/>
      <c r="E21" s="142"/>
      <c r="F21" s="142"/>
      <c r="G21" s="135"/>
      <c r="H21" s="135"/>
      <c r="I21" s="147"/>
      <c r="J21" s="148" t="s">
        <v>85</v>
      </c>
      <c r="K21" s="149"/>
      <c r="L21" s="137" t="s">
        <v>86</v>
      </c>
      <c r="M21" s="142"/>
      <c r="N21" s="142"/>
      <c r="O21" s="143"/>
      <c r="P21" s="143"/>
      <c r="Q21" s="7"/>
    </row>
    <row r="22" spans="2:17" ht="18" customHeight="1">
      <c r="B22" s="135"/>
      <c r="C22" s="150" t="s">
        <v>87</v>
      </c>
      <c r="D22" s="49" t="str">
        <f>Invoerensolo!$E$6</f>
        <v>Helele</v>
      </c>
      <c r="E22" s="151"/>
      <c r="F22" s="142"/>
      <c r="G22" s="135"/>
      <c r="H22" s="135"/>
      <c r="I22" s="147"/>
      <c r="J22" s="106"/>
      <c r="K22" s="152"/>
      <c r="L22" s="142"/>
      <c r="M22" s="148" t="s">
        <v>88</v>
      </c>
      <c r="N22" s="142">
        <f>Invoerensolo!$C$2</f>
        <v>50</v>
      </c>
      <c r="O22" s="153" t="s">
        <v>81</v>
      </c>
      <c r="P22" s="154"/>
      <c r="Q22" s="7">
        <f>Invoerensolo!$R$6</f>
        <v>3</v>
      </c>
    </row>
    <row r="23" spans="2:17" ht="18" customHeight="1">
      <c r="B23" s="135"/>
      <c r="C23" s="150" t="s">
        <v>89</v>
      </c>
      <c r="D23" s="49" t="str">
        <f>Invoerensolo!$F$6</f>
        <v>Spio Synchro</v>
      </c>
      <c r="E23" s="151"/>
      <c r="F23" s="142"/>
      <c r="G23" s="135"/>
      <c r="H23" s="135"/>
      <c r="I23" s="155"/>
      <c r="J23" s="106"/>
      <c r="K23" s="152"/>
      <c r="L23" s="142"/>
      <c r="M23" s="156" t="s">
        <v>17</v>
      </c>
      <c r="N23" s="142"/>
      <c r="O23" s="142"/>
      <c r="P23" s="143">
        <f>P17+P18</f>
        <v>23.58</v>
      </c>
      <c r="Q23" s="157"/>
    </row>
    <row r="24" spans="2:17" ht="18" customHeight="1">
      <c r="B24" s="11"/>
      <c r="C24" s="158"/>
      <c r="D24" s="151"/>
      <c r="E24" s="158"/>
      <c r="F24" s="11"/>
      <c r="G24" s="11"/>
      <c r="H24" s="11"/>
      <c r="I24" s="11"/>
      <c r="J24" s="11"/>
      <c r="K24" s="11"/>
      <c r="L24" s="11"/>
      <c r="M24" s="159"/>
      <c r="N24" s="160"/>
      <c r="O24" s="158"/>
      <c r="P24" s="158"/>
      <c r="Q24" s="11"/>
    </row>
    <row r="25" spans="2:17" ht="18" customHeight="1">
      <c r="B25" s="155">
        <f>Invoerensolo!$A$7</f>
        <v>3</v>
      </c>
      <c r="C25" s="161" t="str">
        <f>Invoerensolo!$D$7</f>
        <v>ZC Eijsden</v>
      </c>
      <c r="D25" s="125" t="str">
        <f>Invoerensolo!$M$7</f>
        <v>Limburg</v>
      </c>
      <c r="E25" s="126">
        <v>0.3</v>
      </c>
      <c r="F25" s="162"/>
      <c r="G25" s="162"/>
      <c r="H25" s="162"/>
      <c r="I25" s="163"/>
      <c r="J25" s="163"/>
      <c r="K25" s="136"/>
      <c r="L25" s="130" t="s">
        <v>79</v>
      </c>
      <c r="M25" s="164" t="s">
        <v>80</v>
      </c>
      <c r="N25" s="165">
        <f>Invoerensolo!$C$1</f>
        <v>50</v>
      </c>
      <c r="O25" s="166" t="s">
        <v>81</v>
      </c>
      <c r="P25" s="167">
        <f>ROUND(Invoerensolo!$BR$7*Invoerensolo!$C$1/100,4)</f>
        <v>22.8222</v>
      </c>
      <c r="Q25" s="49">
        <f>Invoerensolo!$BT$7</f>
        <v>1</v>
      </c>
    </row>
    <row r="26" spans="2:17" ht="18" customHeight="1">
      <c r="B26" s="135" t="str">
        <f>Invoerensolo!$I$7</f>
        <v>X</v>
      </c>
      <c r="C26" s="135" t="str">
        <f>Invoerensolo!$G$7</f>
        <v>Anne Willems</v>
      </c>
      <c r="D26" s="135">
        <f>Invoerensolo!$H$7</f>
        <v>200300796</v>
      </c>
      <c r="E26" s="126">
        <v>0.4</v>
      </c>
      <c r="F26" s="127"/>
      <c r="G26" s="127"/>
      <c r="H26" s="127"/>
      <c r="I26" s="128"/>
      <c r="J26" s="128"/>
      <c r="K26" s="136"/>
      <c r="L26" s="137" t="s">
        <v>82</v>
      </c>
      <c r="M26" s="138" t="s">
        <v>83</v>
      </c>
      <c r="N26" s="139">
        <f>Invoerensolo!$C$3</f>
        <v>0</v>
      </c>
      <c r="O26" s="140" t="s">
        <v>81</v>
      </c>
      <c r="P26" s="141">
        <f>ROUND(Invoerensolo!$O$7*Invoerensolo!$C$3/100,4)</f>
        <v>0</v>
      </c>
      <c r="Q26" s="7">
        <f>Invoerensolo!$P$7</f>
      </c>
    </row>
    <row r="27" spans="2:17" ht="18" customHeight="1">
      <c r="B27" s="135">
        <f>Invoerensolo!$L$7</f>
        <v>0</v>
      </c>
      <c r="C27" s="135">
        <f>Invoerensolo!$J$7</f>
        <v>0</v>
      </c>
      <c r="D27" s="135">
        <f>Invoerensolo!$K$7</f>
        <v>0</v>
      </c>
      <c r="E27" s="126">
        <v>0.3</v>
      </c>
      <c r="F27" s="127"/>
      <c r="G27" s="127"/>
      <c r="H27" s="127"/>
      <c r="I27" s="128"/>
      <c r="J27" s="128"/>
      <c r="K27" s="136"/>
      <c r="L27" s="137" t="s">
        <v>84</v>
      </c>
      <c r="M27" s="142"/>
      <c r="N27" s="142"/>
      <c r="O27" s="143"/>
      <c r="P27" s="143"/>
      <c r="Q27" s="7"/>
    </row>
    <row r="28" spans="2:17" ht="18" customHeight="1">
      <c r="B28" s="135"/>
      <c r="C28" s="135"/>
      <c r="D28" s="135"/>
      <c r="E28" s="142"/>
      <c r="F28" s="142"/>
      <c r="G28" s="144"/>
      <c r="H28" s="144"/>
      <c r="I28" s="145"/>
      <c r="J28" s="145"/>
      <c r="K28" s="146">
        <f>SUM(K25:K27)</f>
        <v>0</v>
      </c>
      <c r="L28" s="142"/>
      <c r="M28" s="142"/>
      <c r="N28" s="142"/>
      <c r="O28" s="143"/>
      <c r="P28" s="143"/>
      <c r="Q28" s="7"/>
    </row>
    <row r="29" spans="2:17" ht="18" customHeight="1">
      <c r="B29" s="135"/>
      <c r="C29" s="135"/>
      <c r="D29" s="135"/>
      <c r="E29" s="142"/>
      <c r="F29" s="142"/>
      <c r="G29" s="135"/>
      <c r="H29" s="135"/>
      <c r="I29" s="147"/>
      <c r="J29" s="148" t="s">
        <v>85</v>
      </c>
      <c r="K29" s="149"/>
      <c r="L29" s="137" t="s">
        <v>86</v>
      </c>
      <c r="M29" s="142"/>
      <c r="N29" s="142"/>
      <c r="O29" s="143"/>
      <c r="P29" s="143"/>
      <c r="Q29" s="7"/>
    </row>
    <row r="30" spans="2:17" ht="18" customHeight="1">
      <c r="B30" s="135"/>
      <c r="C30" s="150" t="s">
        <v>87</v>
      </c>
      <c r="D30" s="49" t="str">
        <f>Invoerensolo!$E$7</f>
        <v>Hasta Que Salga el Sol</v>
      </c>
      <c r="E30" s="151"/>
      <c r="F30" s="142"/>
      <c r="G30" s="135"/>
      <c r="H30" s="135"/>
      <c r="I30" s="147"/>
      <c r="J30" s="106"/>
      <c r="K30" s="152"/>
      <c r="L30" s="142"/>
      <c r="M30" s="148" t="s">
        <v>88</v>
      </c>
      <c r="N30" s="142">
        <f>Invoerensolo!$C$2</f>
        <v>50</v>
      </c>
      <c r="O30" s="153" t="s">
        <v>81</v>
      </c>
      <c r="P30" s="154"/>
      <c r="Q30" s="7">
        <f>Invoerensolo!$R$7</f>
        <v>2</v>
      </c>
    </row>
    <row r="31" spans="2:17" ht="18" customHeight="1">
      <c r="B31" s="135"/>
      <c r="C31" s="150" t="s">
        <v>89</v>
      </c>
      <c r="D31" s="49" t="str">
        <f>Invoerensolo!$F$7</f>
        <v>Evelien Wolfs</v>
      </c>
      <c r="E31" s="151"/>
      <c r="F31" s="142"/>
      <c r="G31" s="135"/>
      <c r="H31" s="135"/>
      <c r="I31" s="155"/>
      <c r="J31" s="106"/>
      <c r="K31" s="152"/>
      <c r="L31" s="142"/>
      <c r="M31" s="156" t="s">
        <v>17</v>
      </c>
      <c r="N31" s="142"/>
      <c r="O31" s="142"/>
      <c r="P31" s="143">
        <f>P25+P26</f>
        <v>22.8222</v>
      </c>
      <c r="Q31" s="157"/>
    </row>
    <row r="32" spans="2:17" ht="18" customHeight="1">
      <c r="B32" s="11"/>
      <c r="C32" s="158"/>
      <c r="D32" s="151"/>
      <c r="E32" s="158"/>
      <c r="F32" s="11"/>
      <c r="G32" s="11"/>
      <c r="H32" s="11"/>
      <c r="I32" s="11"/>
      <c r="J32" s="11"/>
      <c r="K32" s="11"/>
      <c r="L32" s="11"/>
      <c r="M32" s="159"/>
      <c r="N32" s="160"/>
      <c r="O32" s="158"/>
      <c r="P32" s="158"/>
      <c r="Q32" s="11"/>
    </row>
    <row r="33" spans="2:17" ht="18" customHeight="1">
      <c r="B33" s="155">
        <f>Invoerensolo!$A$8</f>
        <v>4</v>
      </c>
      <c r="C33" s="161">
        <f>Invoerensolo!$D$8</f>
        <v>0</v>
      </c>
      <c r="D33" s="125">
        <f>Invoerensolo!$M$8</f>
        <v>0</v>
      </c>
      <c r="E33" s="126">
        <v>0.3</v>
      </c>
      <c r="F33" s="162"/>
      <c r="G33" s="162"/>
      <c r="H33" s="162"/>
      <c r="I33" s="163"/>
      <c r="J33" s="163"/>
      <c r="K33" s="136"/>
      <c r="L33" s="130" t="s">
        <v>79</v>
      </c>
      <c r="M33" s="164" t="s">
        <v>80</v>
      </c>
      <c r="N33" s="165">
        <f>Invoerensolo!$C$1</f>
        <v>50</v>
      </c>
      <c r="O33" s="166" t="s">
        <v>81</v>
      </c>
      <c r="P33" s="167">
        <f>ROUND(Invoerensolo!$BR$8*Invoerensolo!$C$1/100,4)</f>
        <v>0</v>
      </c>
      <c r="Q33" s="49">
        <f>Invoerensolo!$BT$8</f>
        <v>0</v>
      </c>
    </row>
    <row r="34" spans="2:17" ht="18" customHeight="1">
      <c r="B34" s="135">
        <f>Invoerensolo!$I$8</f>
        <v>0</v>
      </c>
      <c r="C34" s="135">
        <f>Invoerensolo!$G$8</f>
        <v>0</v>
      </c>
      <c r="D34" s="135">
        <f>Invoerensolo!$H$8</f>
        <v>0</v>
      </c>
      <c r="E34" s="126">
        <v>0.4</v>
      </c>
      <c r="F34" s="127"/>
      <c r="G34" s="127"/>
      <c r="H34" s="127"/>
      <c r="I34" s="128"/>
      <c r="J34" s="128"/>
      <c r="K34" s="136"/>
      <c r="L34" s="137" t="s">
        <v>82</v>
      </c>
      <c r="M34" s="138" t="s">
        <v>83</v>
      </c>
      <c r="N34" s="139">
        <f>Invoerensolo!$C$3</f>
        <v>0</v>
      </c>
      <c r="O34" s="140" t="s">
        <v>81</v>
      </c>
      <c r="P34" s="141">
        <f>ROUND(Invoerensolo!$O$8*Invoerensolo!$C$3/100,4)</f>
        <v>0</v>
      </c>
      <c r="Q34" s="7">
        <f>Invoerensolo!$P$8</f>
      </c>
    </row>
    <row r="35" spans="2:17" ht="18" customHeight="1">
      <c r="B35" s="135">
        <f>Invoerensolo!$L$8</f>
        <v>0</v>
      </c>
      <c r="C35" s="135">
        <f>Invoerensolo!$J$8</f>
        <v>0</v>
      </c>
      <c r="D35" s="135">
        <f>Invoerensolo!$K$8</f>
        <v>0</v>
      </c>
      <c r="E35" s="126">
        <v>0.3</v>
      </c>
      <c r="F35" s="127"/>
      <c r="G35" s="127"/>
      <c r="H35" s="127"/>
      <c r="I35" s="128"/>
      <c r="J35" s="128"/>
      <c r="K35" s="136"/>
      <c r="L35" s="137" t="s">
        <v>84</v>
      </c>
      <c r="M35" s="142"/>
      <c r="N35" s="142"/>
      <c r="O35" s="143"/>
      <c r="P35" s="143"/>
      <c r="Q35" s="7"/>
    </row>
    <row r="36" spans="2:17" ht="18" customHeight="1">
      <c r="B36" s="135"/>
      <c r="C36" s="135"/>
      <c r="D36" s="135"/>
      <c r="E36" s="142"/>
      <c r="F36" s="142"/>
      <c r="G36" s="144"/>
      <c r="H36" s="144"/>
      <c r="I36" s="145"/>
      <c r="J36" s="145"/>
      <c r="K36" s="146">
        <f>SUM(K33:K35)</f>
        <v>0</v>
      </c>
      <c r="L36" s="142"/>
      <c r="M36" s="142"/>
      <c r="N36" s="142"/>
      <c r="O36" s="143"/>
      <c r="P36" s="143"/>
      <c r="Q36" s="7"/>
    </row>
    <row r="37" spans="2:17" ht="18" customHeight="1">
      <c r="B37" s="135"/>
      <c r="C37" s="135"/>
      <c r="D37" s="135"/>
      <c r="E37" s="142"/>
      <c r="F37" s="142"/>
      <c r="G37" s="135"/>
      <c r="H37" s="135"/>
      <c r="I37" s="147"/>
      <c r="J37" s="148" t="s">
        <v>85</v>
      </c>
      <c r="K37" s="149"/>
      <c r="L37" s="137" t="s">
        <v>86</v>
      </c>
      <c r="M37" s="142"/>
      <c r="N37" s="142"/>
      <c r="O37" s="143"/>
      <c r="P37" s="143"/>
      <c r="Q37" s="7"/>
    </row>
    <row r="38" spans="2:17" ht="18" customHeight="1">
      <c r="B38" s="135"/>
      <c r="C38" s="150" t="s">
        <v>87</v>
      </c>
      <c r="D38" s="49">
        <f>Invoerensolo!$E$8</f>
        <v>0</v>
      </c>
      <c r="E38" s="151"/>
      <c r="F38" s="142"/>
      <c r="G38" s="135"/>
      <c r="H38" s="135"/>
      <c r="I38" s="147"/>
      <c r="J38" s="106"/>
      <c r="K38" s="152"/>
      <c r="L38" s="142"/>
      <c r="M38" s="148" t="s">
        <v>88</v>
      </c>
      <c r="N38" s="142">
        <f>Invoerensolo!$C$2</f>
        <v>50</v>
      </c>
      <c r="O38" s="153" t="s">
        <v>81</v>
      </c>
      <c r="P38" s="154"/>
      <c r="Q38" s="7">
        <f>Invoerensolo!$R$8</f>
      </c>
    </row>
    <row r="39" spans="2:17" ht="18" customHeight="1">
      <c r="B39" s="135"/>
      <c r="C39" s="150" t="s">
        <v>89</v>
      </c>
      <c r="D39" s="49">
        <f>Invoerensolo!$F$8</f>
        <v>0</v>
      </c>
      <c r="E39" s="151"/>
      <c r="F39" s="142"/>
      <c r="G39" s="135"/>
      <c r="H39" s="135"/>
      <c r="I39" s="155"/>
      <c r="J39" s="106"/>
      <c r="K39" s="152"/>
      <c r="L39" s="142"/>
      <c r="M39" s="156" t="s">
        <v>17</v>
      </c>
      <c r="N39" s="142"/>
      <c r="O39" s="142"/>
      <c r="P39" s="143">
        <f>P33+P34</f>
        <v>0</v>
      </c>
      <c r="Q39" s="157"/>
    </row>
    <row r="40" spans="2:17" ht="18" customHeight="1">
      <c r="B40" s="11"/>
      <c r="C40" s="158"/>
      <c r="D40" s="151"/>
      <c r="E40" s="158"/>
      <c r="F40" s="11"/>
      <c r="G40" s="11"/>
      <c r="H40" s="11"/>
      <c r="I40" s="11"/>
      <c r="J40" s="11"/>
      <c r="K40" s="11"/>
      <c r="L40" s="11"/>
      <c r="M40" s="159"/>
      <c r="N40" s="160"/>
      <c r="O40" s="158"/>
      <c r="P40" s="158"/>
      <c r="Q40" s="11"/>
    </row>
    <row r="41" spans="2:17" ht="18" customHeight="1">
      <c r="B41" s="155">
        <f>Invoerensolo!$A$9</f>
        <v>5</v>
      </c>
      <c r="C41" s="161">
        <f>Invoerensolo!$D$9</f>
        <v>0</v>
      </c>
      <c r="D41" s="125">
        <f>Invoerensolo!$M$9</f>
        <v>0</v>
      </c>
      <c r="E41" s="126">
        <v>0.3</v>
      </c>
      <c r="F41" s="162"/>
      <c r="G41" s="162"/>
      <c r="H41" s="162"/>
      <c r="I41" s="163"/>
      <c r="J41" s="163"/>
      <c r="K41" s="136"/>
      <c r="L41" s="130" t="s">
        <v>79</v>
      </c>
      <c r="M41" s="164" t="s">
        <v>80</v>
      </c>
      <c r="N41" s="165">
        <f>Invoerensolo!$C$1</f>
        <v>50</v>
      </c>
      <c r="O41" s="166" t="s">
        <v>81</v>
      </c>
      <c r="P41" s="167">
        <f>ROUND(Invoerensolo!$BR$9*Invoerensolo!$C$1/100,4)</f>
        <v>0</v>
      </c>
      <c r="Q41" s="49">
        <f>Invoerensolo!$BT$9</f>
        <v>0</v>
      </c>
    </row>
    <row r="42" spans="2:17" ht="18" customHeight="1">
      <c r="B42" s="135">
        <f>Invoerensolo!$I$9</f>
        <v>0</v>
      </c>
      <c r="C42" s="135">
        <f>Invoerensolo!$G$9</f>
        <v>0</v>
      </c>
      <c r="D42" s="135">
        <f>Invoerensolo!$H$9</f>
        <v>0</v>
      </c>
      <c r="E42" s="126">
        <v>0.4</v>
      </c>
      <c r="F42" s="127"/>
      <c r="G42" s="127"/>
      <c r="H42" s="127"/>
      <c r="I42" s="128"/>
      <c r="J42" s="128"/>
      <c r="K42" s="136"/>
      <c r="L42" s="137" t="s">
        <v>82</v>
      </c>
      <c r="M42" s="138" t="s">
        <v>83</v>
      </c>
      <c r="N42" s="139">
        <f>Invoerensolo!$C$3</f>
        <v>0</v>
      </c>
      <c r="O42" s="140" t="s">
        <v>81</v>
      </c>
      <c r="P42" s="141">
        <f>ROUND(Invoerensolo!$O$9*Invoerensolo!$C$3/100,4)</f>
        <v>0</v>
      </c>
      <c r="Q42" s="7">
        <f>Invoerensolo!$P$9</f>
      </c>
    </row>
    <row r="43" spans="2:17" ht="18" customHeight="1">
      <c r="B43" s="135">
        <f>Invoerensolo!$L$9</f>
        <v>0</v>
      </c>
      <c r="C43" s="135">
        <f>Invoerensolo!$J$9</f>
        <v>0</v>
      </c>
      <c r="D43" s="135">
        <f>Invoerensolo!$K$9</f>
        <v>0</v>
      </c>
      <c r="E43" s="126">
        <v>0.3</v>
      </c>
      <c r="F43" s="127"/>
      <c r="G43" s="127"/>
      <c r="H43" s="127"/>
      <c r="I43" s="128"/>
      <c r="J43" s="128"/>
      <c r="K43" s="136"/>
      <c r="L43" s="137" t="s">
        <v>84</v>
      </c>
      <c r="M43" s="142"/>
      <c r="N43" s="142"/>
      <c r="O43" s="143"/>
      <c r="P43" s="143"/>
      <c r="Q43" s="7"/>
    </row>
    <row r="44" spans="2:17" ht="18" customHeight="1">
      <c r="B44" s="135"/>
      <c r="C44" s="135"/>
      <c r="D44" s="135"/>
      <c r="E44" s="142"/>
      <c r="F44" s="142"/>
      <c r="G44" s="144"/>
      <c r="H44" s="144"/>
      <c r="I44" s="145"/>
      <c r="J44" s="145"/>
      <c r="K44" s="146">
        <f>SUM(K41:K43)</f>
        <v>0</v>
      </c>
      <c r="L44" s="142"/>
      <c r="M44" s="142"/>
      <c r="N44" s="142"/>
      <c r="O44" s="143"/>
      <c r="P44" s="143"/>
      <c r="Q44" s="7"/>
    </row>
    <row r="45" spans="2:17" ht="18" customHeight="1">
      <c r="B45" s="135"/>
      <c r="C45" s="135"/>
      <c r="D45" s="135"/>
      <c r="E45" s="142"/>
      <c r="F45" s="142"/>
      <c r="G45" s="135"/>
      <c r="H45" s="135"/>
      <c r="I45" s="147"/>
      <c r="J45" s="148" t="s">
        <v>85</v>
      </c>
      <c r="K45" s="149"/>
      <c r="L45" s="137" t="s">
        <v>86</v>
      </c>
      <c r="M45" s="142"/>
      <c r="N45" s="142"/>
      <c r="O45" s="143"/>
      <c r="P45" s="143"/>
      <c r="Q45" s="7"/>
    </row>
    <row r="46" spans="2:17" ht="18" customHeight="1">
      <c r="B46" s="135"/>
      <c r="C46" s="150" t="s">
        <v>87</v>
      </c>
      <c r="D46" s="49">
        <f>Invoerensolo!$E$9</f>
        <v>0</v>
      </c>
      <c r="E46" s="151"/>
      <c r="F46" s="142"/>
      <c r="G46" s="135"/>
      <c r="H46" s="135"/>
      <c r="I46" s="147"/>
      <c r="J46" s="106"/>
      <c r="K46" s="152"/>
      <c r="L46" s="142"/>
      <c r="M46" s="148" t="s">
        <v>88</v>
      </c>
      <c r="N46" s="142">
        <f>Invoerensolo!$C$2</f>
        <v>50</v>
      </c>
      <c r="O46" s="153" t="s">
        <v>81</v>
      </c>
      <c r="P46" s="154"/>
      <c r="Q46" s="7">
        <f>Invoerensolo!$R$9</f>
      </c>
    </row>
    <row r="47" spans="2:17" ht="18" customHeight="1">
      <c r="B47" s="135"/>
      <c r="C47" s="150" t="s">
        <v>89</v>
      </c>
      <c r="D47" s="49">
        <f>Invoerensolo!$F$9</f>
        <v>0</v>
      </c>
      <c r="E47" s="151"/>
      <c r="F47" s="142"/>
      <c r="G47" s="135"/>
      <c r="H47" s="135"/>
      <c r="I47" s="155"/>
      <c r="J47" s="106"/>
      <c r="K47" s="152"/>
      <c r="L47" s="142"/>
      <c r="M47" s="156" t="s">
        <v>17</v>
      </c>
      <c r="N47" s="142"/>
      <c r="O47" s="142"/>
      <c r="P47" s="143">
        <f>P41+P42</f>
        <v>0</v>
      </c>
      <c r="Q47" s="157"/>
    </row>
    <row r="48" spans="2:17" ht="18" customHeight="1">
      <c r="B48" s="11"/>
      <c r="C48" s="158"/>
      <c r="D48" s="151"/>
      <c r="E48" s="158"/>
      <c r="F48" s="11"/>
      <c r="G48" s="11"/>
      <c r="H48" s="11"/>
      <c r="I48" s="11"/>
      <c r="J48" s="11"/>
      <c r="K48" s="11"/>
      <c r="L48" s="11"/>
      <c r="M48" s="159"/>
      <c r="N48" s="160"/>
      <c r="O48" s="158"/>
      <c r="P48" s="158"/>
      <c r="Q48" s="11"/>
    </row>
    <row r="49" spans="2:17" ht="18" customHeight="1">
      <c r="B49" s="155">
        <f>Invoerensolo!$A$10</f>
        <v>6</v>
      </c>
      <c r="C49" s="161">
        <f>Invoerensolo!$D$10</f>
        <v>0</v>
      </c>
      <c r="D49" s="125">
        <f>Invoerensolo!$M$10</f>
        <v>0</v>
      </c>
      <c r="E49" s="126">
        <v>0.3</v>
      </c>
      <c r="F49" s="162"/>
      <c r="G49" s="162"/>
      <c r="H49" s="162"/>
      <c r="I49" s="163"/>
      <c r="J49" s="163"/>
      <c r="K49" s="136"/>
      <c r="L49" s="130" t="s">
        <v>79</v>
      </c>
      <c r="M49" s="164" t="s">
        <v>80</v>
      </c>
      <c r="N49" s="165">
        <f>Invoerensolo!$C$1</f>
        <v>50</v>
      </c>
      <c r="O49" s="166" t="s">
        <v>81</v>
      </c>
      <c r="P49" s="167">
        <f>ROUND(Invoerensolo!$BR$10*Invoerensolo!$C$1/100,4)</f>
        <v>0</v>
      </c>
      <c r="Q49" s="49">
        <f>Invoerensolo!$BT$10</f>
        <v>0</v>
      </c>
    </row>
    <row r="50" spans="2:17" ht="18" customHeight="1">
      <c r="B50" s="135">
        <f>Invoerensolo!$I$10</f>
        <v>0</v>
      </c>
      <c r="C50" s="135">
        <f>Invoerensolo!$G$10</f>
        <v>0</v>
      </c>
      <c r="D50" s="135">
        <f>Invoerensolo!$H$10</f>
        <v>0</v>
      </c>
      <c r="E50" s="126">
        <v>0.4</v>
      </c>
      <c r="F50" s="127"/>
      <c r="G50" s="127"/>
      <c r="H50" s="127"/>
      <c r="I50" s="128"/>
      <c r="J50" s="128"/>
      <c r="K50" s="136"/>
      <c r="L50" s="137" t="s">
        <v>82</v>
      </c>
      <c r="M50" s="138" t="s">
        <v>83</v>
      </c>
      <c r="N50" s="139">
        <f>Invoerensolo!$C$3</f>
        <v>0</v>
      </c>
      <c r="O50" s="140" t="s">
        <v>81</v>
      </c>
      <c r="P50" s="141">
        <f>ROUND(Invoerensolo!$O$10*Invoerensolo!$C$3/100,4)</f>
        <v>0</v>
      </c>
      <c r="Q50" s="7">
        <f>Invoerensolo!$P$10</f>
      </c>
    </row>
    <row r="51" spans="2:17" ht="18" customHeight="1">
      <c r="B51" s="135">
        <f>Invoerensolo!$L$10</f>
        <v>0</v>
      </c>
      <c r="C51" s="135">
        <f>Invoerensolo!$J$10</f>
        <v>0</v>
      </c>
      <c r="D51" s="135">
        <f>Invoerensolo!$K$10</f>
        <v>0</v>
      </c>
      <c r="E51" s="126">
        <v>0.3</v>
      </c>
      <c r="F51" s="127"/>
      <c r="G51" s="127"/>
      <c r="H51" s="127"/>
      <c r="I51" s="128"/>
      <c r="J51" s="128"/>
      <c r="K51" s="136"/>
      <c r="L51" s="137" t="s">
        <v>84</v>
      </c>
      <c r="M51" s="142"/>
      <c r="N51" s="142"/>
      <c r="O51" s="143"/>
      <c r="P51" s="143"/>
      <c r="Q51" s="7"/>
    </row>
    <row r="52" spans="2:17" ht="18" customHeight="1">
      <c r="B52" s="135"/>
      <c r="C52" s="135"/>
      <c r="D52" s="135"/>
      <c r="E52" s="142"/>
      <c r="F52" s="142"/>
      <c r="G52" s="144"/>
      <c r="H52" s="144"/>
      <c r="I52" s="145"/>
      <c r="J52" s="145"/>
      <c r="K52" s="146">
        <f>SUM(K49:K51)</f>
        <v>0</v>
      </c>
      <c r="L52" s="142"/>
      <c r="M52" s="142"/>
      <c r="N52" s="142"/>
      <c r="O52" s="143"/>
      <c r="P52" s="143"/>
      <c r="Q52" s="7"/>
    </row>
    <row r="53" spans="2:17" ht="18" customHeight="1">
      <c r="B53" s="135"/>
      <c r="C53" s="135"/>
      <c r="D53" s="135"/>
      <c r="E53" s="142"/>
      <c r="F53" s="142"/>
      <c r="G53" s="135"/>
      <c r="H53" s="135"/>
      <c r="I53" s="147"/>
      <c r="J53" s="148" t="s">
        <v>85</v>
      </c>
      <c r="K53" s="149"/>
      <c r="L53" s="137" t="s">
        <v>86</v>
      </c>
      <c r="M53" s="142"/>
      <c r="N53" s="142"/>
      <c r="O53" s="143"/>
      <c r="P53" s="143"/>
      <c r="Q53" s="7"/>
    </row>
    <row r="54" spans="2:17" ht="18" customHeight="1">
      <c r="B54" s="135"/>
      <c r="C54" s="150" t="s">
        <v>87</v>
      </c>
      <c r="D54" s="49">
        <f>Invoerensolo!$E$10</f>
        <v>0</v>
      </c>
      <c r="E54" s="151"/>
      <c r="F54" s="142"/>
      <c r="G54" s="135"/>
      <c r="H54" s="135"/>
      <c r="I54" s="147"/>
      <c r="J54" s="106"/>
      <c r="K54" s="152"/>
      <c r="L54" s="142"/>
      <c r="M54" s="148" t="s">
        <v>88</v>
      </c>
      <c r="N54" s="142">
        <f>Invoerensolo!$C$2</f>
        <v>50</v>
      </c>
      <c r="O54" s="153" t="s">
        <v>81</v>
      </c>
      <c r="P54" s="154"/>
      <c r="Q54" s="7">
        <f>Invoerensolo!$R$10</f>
      </c>
    </row>
    <row r="55" spans="2:17" ht="18" customHeight="1">
      <c r="B55" s="135"/>
      <c r="C55" s="150" t="s">
        <v>89</v>
      </c>
      <c r="D55" s="49">
        <f>Invoerensolo!$F$10</f>
        <v>0</v>
      </c>
      <c r="E55" s="151"/>
      <c r="F55" s="142"/>
      <c r="G55" s="135"/>
      <c r="H55" s="135"/>
      <c r="I55" s="155"/>
      <c r="J55" s="106"/>
      <c r="K55" s="152"/>
      <c r="L55" s="142"/>
      <c r="M55" s="156" t="s">
        <v>17</v>
      </c>
      <c r="N55" s="142"/>
      <c r="O55" s="142"/>
      <c r="P55" s="143">
        <f>P49+P50</f>
        <v>0</v>
      </c>
      <c r="Q55" s="157"/>
    </row>
    <row r="56" spans="2:17" ht="18" customHeight="1">
      <c r="B56" s="11"/>
      <c r="C56" s="158"/>
      <c r="D56" s="151"/>
      <c r="E56" s="158"/>
      <c r="F56" s="11"/>
      <c r="G56" s="11"/>
      <c r="H56" s="11"/>
      <c r="I56" s="11"/>
      <c r="J56" s="11"/>
      <c r="K56" s="11"/>
      <c r="L56" s="11"/>
      <c r="M56" s="159"/>
      <c r="N56" s="160"/>
      <c r="O56" s="158"/>
      <c r="P56" s="158"/>
      <c r="Q56" s="11"/>
    </row>
    <row r="57" spans="2:17" ht="18" customHeight="1">
      <c r="B57" s="155">
        <f>Invoerensolo!$A$11</f>
        <v>7</v>
      </c>
      <c r="C57" s="161">
        <f>Invoerensolo!$D$11</f>
        <v>0</v>
      </c>
      <c r="D57" s="125">
        <f>Invoerensolo!$M$11</f>
        <v>0</v>
      </c>
      <c r="E57" s="126">
        <v>0.3</v>
      </c>
      <c r="F57" s="162"/>
      <c r="G57" s="162"/>
      <c r="H57" s="162"/>
      <c r="I57" s="163"/>
      <c r="J57" s="163"/>
      <c r="K57" s="136"/>
      <c r="L57" s="130" t="s">
        <v>79</v>
      </c>
      <c r="M57" s="164" t="s">
        <v>80</v>
      </c>
      <c r="N57" s="165">
        <f>Invoerensolo!$C$1</f>
        <v>50</v>
      </c>
      <c r="O57" s="166" t="s">
        <v>81</v>
      </c>
      <c r="P57" s="167">
        <f>ROUND(Invoerensolo!$BR$11*Invoerensolo!$C$1/100,4)</f>
        <v>0</v>
      </c>
      <c r="Q57" s="49">
        <f>Invoerensolo!$BT$11</f>
        <v>0</v>
      </c>
    </row>
    <row r="58" spans="2:17" ht="18" customHeight="1">
      <c r="B58" s="135">
        <f>Invoerensolo!$I$11</f>
        <v>0</v>
      </c>
      <c r="C58" s="135">
        <f>Invoerensolo!$G$11</f>
        <v>0</v>
      </c>
      <c r="D58" s="135">
        <f>Invoerensolo!$H$11</f>
        <v>0</v>
      </c>
      <c r="E58" s="126">
        <v>0.4</v>
      </c>
      <c r="F58" s="127"/>
      <c r="G58" s="127"/>
      <c r="H58" s="127"/>
      <c r="I58" s="128"/>
      <c r="J58" s="128"/>
      <c r="K58" s="136"/>
      <c r="L58" s="137" t="s">
        <v>82</v>
      </c>
      <c r="M58" s="138" t="s">
        <v>83</v>
      </c>
      <c r="N58" s="139">
        <f>Invoerensolo!$C$3</f>
        <v>0</v>
      </c>
      <c r="O58" s="140" t="s">
        <v>81</v>
      </c>
      <c r="P58" s="141">
        <f>ROUND(Invoerensolo!$O$11*Invoerensolo!$C$3/100,4)</f>
        <v>0</v>
      </c>
      <c r="Q58" s="7">
        <f>Invoerensolo!$P$11</f>
      </c>
    </row>
    <row r="59" spans="2:17" ht="18" customHeight="1">
      <c r="B59" s="135">
        <f>Invoerensolo!$L$11</f>
        <v>0</v>
      </c>
      <c r="C59" s="135">
        <f>Invoerensolo!$J$11</f>
        <v>0</v>
      </c>
      <c r="D59" s="135">
        <f>Invoerensolo!$K$11</f>
        <v>0</v>
      </c>
      <c r="E59" s="126">
        <v>0.3</v>
      </c>
      <c r="F59" s="127"/>
      <c r="G59" s="127"/>
      <c r="H59" s="127"/>
      <c r="I59" s="128"/>
      <c r="J59" s="128"/>
      <c r="K59" s="136"/>
      <c r="L59" s="137" t="s">
        <v>84</v>
      </c>
      <c r="M59" s="142"/>
      <c r="N59" s="142"/>
      <c r="O59" s="143"/>
      <c r="P59" s="143"/>
      <c r="Q59" s="7"/>
    </row>
    <row r="60" spans="2:17" ht="18" customHeight="1">
      <c r="B60" s="135"/>
      <c r="C60" s="135"/>
      <c r="D60" s="135"/>
      <c r="E60" s="142"/>
      <c r="F60" s="142"/>
      <c r="G60" s="144"/>
      <c r="H60" s="144"/>
      <c r="I60" s="145"/>
      <c r="J60" s="145"/>
      <c r="K60" s="146">
        <f>SUM(K57:K59)</f>
        <v>0</v>
      </c>
      <c r="L60" s="142"/>
      <c r="M60" s="142"/>
      <c r="N60" s="142"/>
      <c r="O60" s="143"/>
      <c r="P60" s="143"/>
      <c r="Q60" s="7"/>
    </row>
    <row r="61" spans="2:17" ht="18" customHeight="1">
      <c r="B61" s="135"/>
      <c r="C61" s="135"/>
      <c r="D61" s="135"/>
      <c r="E61" s="142"/>
      <c r="F61" s="142"/>
      <c r="G61" s="135"/>
      <c r="H61" s="135"/>
      <c r="I61" s="147"/>
      <c r="J61" s="148" t="s">
        <v>85</v>
      </c>
      <c r="K61" s="149"/>
      <c r="L61" s="137" t="s">
        <v>86</v>
      </c>
      <c r="M61" s="142"/>
      <c r="N61" s="142"/>
      <c r="O61" s="143"/>
      <c r="P61" s="143"/>
      <c r="Q61" s="7"/>
    </row>
    <row r="62" spans="2:17" ht="18" customHeight="1">
      <c r="B62" s="135"/>
      <c r="C62" s="150" t="s">
        <v>87</v>
      </c>
      <c r="D62" s="49">
        <f>Invoerensolo!$E$11</f>
        <v>0</v>
      </c>
      <c r="E62" s="151"/>
      <c r="F62" s="142"/>
      <c r="G62" s="135"/>
      <c r="H62" s="135"/>
      <c r="I62" s="147"/>
      <c r="J62" s="106"/>
      <c r="K62" s="152"/>
      <c r="L62" s="142"/>
      <c r="M62" s="148" t="s">
        <v>88</v>
      </c>
      <c r="N62" s="142">
        <f>Invoerensolo!$C$2</f>
        <v>50</v>
      </c>
      <c r="O62" s="153" t="s">
        <v>81</v>
      </c>
      <c r="P62" s="154"/>
      <c r="Q62" s="7">
        <f>Invoerensolo!$R$11</f>
      </c>
    </row>
    <row r="63" spans="2:17" ht="18" customHeight="1">
      <c r="B63" s="135"/>
      <c r="C63" s="150" t="s">
        <v>89</v>
      </c>
      <c r="D63" s="49">
        <f>Invoerensolo!$F$11</f>
        <v>0</v>
      </c>
      <c r="E63" s="151"/>
      <c r="F63" s="142"/>
      <c r="G63" s="135"/>
      <c r="H63" s="135"/>
      <c r="I63" s="155"/>
      <c r="J63" s="106"/>
      <c r="K63" s="152"/>
      <c r="L63" s="142"/>
      <c r="M63" s="156" t="s">
        <v>17</v>
      </c>
      <c r="N63" s="142"/>
      <c r="O63" s="142"/>
      <c r="P63" s="143">
        <f>P57+P58</f>
        <v>0</v>
      </c>
      <c r="Q63" s="157"/>
    </row>
    <row r="64" spans="2:17" ht="18" customHeight="1">
      <c r="B64" s="11"/>
      <c r="C64" s="158"/>
      <c r="D64" s="151"/>
      <c r="E64" s="158"/>
      <c r="F64" s="11"/>
      <c r="G64" s="11"/>
      <c r="H64" s="11"/>
      <c r="I64" s="11"/>
      <c r="J64" s="11"/>
      <c r="K64" s="11"/>
      <c r="L64" s="11"/>
      <c r="M64" s="159"/>
      <c r="N64" s="160"/>
      <c r="O64" s="158"/>
      <c r="P64" s="158"/>
      <c r="Q64" s="11"/>
    </row>
    <row r="65" spans="2:17" ht="18" customHeight="1">
      <c r="B65" s="155">
        <f>Invoerensolo!$A$12</f>
        <v>8</v>
      </c>
      <c r="C65" s="161">
        <f>Invoerensolo!$D$12</f>
        <v>0</v>
      </c>
      <c r="D65" s="125">
        <f>Invoerensolo!$M$12</f>
        <v>0</v>
      </c>
      <c r="E65" s="126">
        <v>0.3</v>
      </c>
      <c r="F65" s="162"/>
      <c r="G65" s="162"/>
      <c r="H65" s="162"/>
      <c r="I65" s="163"/>
      <c r="J65" s="163"/>
      <c r="K65" s="136"/>
      <c r="L65" s="130" t="s">
        <v>79</v>
      </c>
      <c r="M65" s="164" t="s">
        <v>80</v>
      </c>
      <c r="N65" s="165">
        <f>Invoerensolo!$C$1</f>
        <v>50</v>
      </c>
      <c r="O65" s="166" t="s">
        <v>81</v>
      </c>
      <c r="P65" s="167">
        <f>ROUND(Invoerensolo!$BR$12*Invoerensolo!$C$1/100,4)</f>
        <v>0</v>
      </c>
      <c r="Q65" s="49">
        <f>Invoerensolo!$BT$12</f>
        <v>0</v>
      </c>
    </row>
    <row r="66" spans="2:17" ht="18" customHeight="1">
      <c r="B66" s="135">
        <f>Invoerensolo!$I$12</f>
        <v>0</v>
      </c>
      <c r="C66" s="135">
        <f>Invoerensolo!$G$12</f>
        <v>0</v>
      </c>
      <c r="D66" s="135">
        <f>Invoerensolo!$H$12</f>
        <v>0</v>
      </c>
      <c r="E66" s="126">
        <v>0.4</v>
      </c>
      <c r="F66" s="127"/>
      <c r="G66" s="127"/>
      <c r="H66" s="127"/>
      <c r="I66" s="128"/>
      <c r="J66" s="128"/>
      <c r="K66" s="136"/>
      <c r="L66" s="137" t="s">
        <v>82</v>
      </c>
      <c r="M66" s="138" t="s">
        <v>83</v>
      </c>
      <c r="N66" s="139">
        <f>Invoerensolo!$C$3</f>
        <v>0</v>
      </c>
      <c r="O66" s="140" t="s">
        <v>81</v>
      </c>
      <c r="P66" s="141">
        <f>ROUND(Invoerensolo!$O$12*Invoerensolo!$C$3/100,4)</f>
        <v>0</v>
      </c>
      <c r="Q66" s="7">
        <f>Invoerensolo!$P$12</f>
      </c>
    </row>
    <row r="67" spans="2:17" ht="18" customHeight="1">
      <c r="B67" s="135">
        <f>Invoerensolo!$L$12</f>
        <v>0</v>
      </c>
      <c r="C67" s="135">
        <f>Invoerensolo!$J$12</f>
        <v>0</v>
      </c>
      <c r="D67" s="135">
        <f>Invoerensolo!$K$12</f>
        <v>0</v>
      </c>
      <c r="E67" s="126">
        <v>0.3</v>
      </c>
      <c r="F67" s="127"/>
      <c r="G67" s="127"/>
      <c r="H67" s="127"/>
      <c r="I67" s="128"/>
      <c r="J67" s="128"/>
      <c r="K67" s="136"/>
      <c r="L67" s="137" t="s">
        <v>84</v>
      </c>
      <c r="M67" s="142"/>
      <c r="N67" s="142"/>
      <c r="O67" s="143"/>
      <c r="P67" s="143"/>
      <c r="Q67" s="7"/>
    </row>
    <row r="68" spans="2:17" ht="18" customHeight="1">
      <c r="B68" s="135"/>
      <c r="C68" s="135"/>
      <c r="D68" s="135"/>
      <c r="E68" s="142"/>
      <c r="F68" s="142"/>
      <c r="G68" s="144"/>
      <c r="H68" s="144"/>
      <c r="I68" s="145"/>
      <c r="J68" s="145"/>
      <c r="K68" s="146">
        <f>SUM(K65:K67)</f>
        <v>0</v>
      </c>
      <c r="L68" s="142"/>
      <c r="M68" s="142"/>
      <c r="N68" s="142"/>
      <c r="O68" s="143"/>
      <c r="P68" s="143"/>
      <c r="Q68" s="7"/>
    </row>
    <row r="69" spans="2:17" ht="18" customHeight="1">
      <c r="B69" s="135"/>
      <c r="C69" s="135"/>
      <c r="D69" s="135"/>
      <c r="E69" s="142"/>
      <c r="F69" s="142"/>
      <c r="G69" s="135"/>
      <c r="H69" s="135"/>
      <c r="I69" s="147"/>
      <c r="J69" s="148" t="s">
        <v>85</v>
      </c>
      <c r="K69" s="149"/>
      <c r="L69" s="137" t="s">
        <v>86</v>
      </c>
      <c r="M69" s="142"/>
      <c r="N69" s="142"/>
      <c r="O69" s="143"/>
      <c r="P69" s="143"/>
      <c r="Q69" s="7"/>
    </row>
    <row r="70" spans="2:17" ht="18" customHeight="1">
      <c r="B70" s="135"/>
      <c r="C70" s="150" t="s">
        <v>87</v>
      </c>
      <c r="D70" s="49">
        <f>Invoerensolo!$E$12</f>
        <v>0</v>
      </c>
      <c r="E70" s="151"/>
      <c r="F70" s="142"/>
      <c r="G70" s="135"/>
      <c r="H70" s="135"/>
      <c r="I70" s="147"/>
      <c r="J70" s="106"/>
      <c r="K70" s="152"/>
      <c r="L70" s="142"/>
      <c r="M70" s="148" t="s">
        <v>88</v>
      </c>
      <c r="N70" s="142">
        <f>Invoerensolo!$C$2</f>
        <v>50</v>
      </c>
      <c r="O70" s="153" t="s">
        <v>81</v>
      </c>
      <c r="P70" s="154"/>
      <c r="Q70" s="7">
        <f>Invoerensolo!$R$12</f>
      </c>
    </row>
    <row r="71" spans="2:17" ht="18" customHeight="1">
      <c r="B71" s="135"/>
      <c r="C71" s="150" t="s">
        <v>89</v>
      </c>
      <c r="D71" s="49">
        <f>Invoerensolo!$F$12</f>
        <v>0</v>
      </c>
      <c r="E71" s="151"/>
      <c r="F71" s="142"/>
      <c r="G71" s="135"/>
      <c r="H71" s="135"/>
      <c r="I71" s="155"/>
      <c r="J71" s="106"/>
      <c r="K71" s="152"/>
      <c r="L71" s="142"/>
      <c r="M71" s="156" t="s">
        <v>17</v>
      </c>
      <c r="N71" s="142"/>
      <c r="O71" s="142"/>
      <c r="P71" s="143">
        <f>P65+P66</f>
        <v>0</v>
      </c>
      <c r="Q71" s="157"/>
    </row>
    <row r="72" spans="2:17" ht="18" customHeight="1">
      <c r="B72" s="11"/>
      <c r="C72" s="158"/>
      <c r="D72" s="151"/>
      <c r="E72" s="158"/>
      <c r="F72" s="11"/>
      <c r="G72" s="11"/>
      <c r="H72" s="11"/>
      <c r="I72" s="11"/>
      <c r="J72" s="11"/>
      <c r="K72" s="11"/>
      <c r="L72" s="11"/>
      <c r="M72" s="159"/>
      <c r="N72" s="160"/>
      <c r="O72" s="158"/>
      <c r="P72" s="158"/>
      <c r="Q72" s="11"/>
    </row>
    <row r="73" spans="2:17" ht="18" customHeight="1">
      <c r="B73" s="155">
        <f>Invoerensolo!$A$13</f>
        <v>9</v>
      </c>
      <c r="C73" s="161">
        <f>Invoerensolo!$D$13</f>
        <v>0</v>
      </c>
      <c r="D73" s="125">
        <f>Invoerensolo!$M$13</f>
        <v>0</v>
      </c>
      <c r="E73" s="126">
        <v>0.3</v>
      </c>
      <c r="F73" s="162"/>
      <c r="G73" s="162"/>
      <c r="H73" s="162"/>
      <c r="I73" s="163"/>
      <c r="J73" s="163"/>
      <c r="K73" s="136"/>
      <c r="L73" s="130" t="s">
        <v>79</v>
      </c>
      <c r="M73" s="164" t="s">
        <v>80</v>
      </c>
      <c r="N73" s="165">
        <f>Invoerensolo!$C$1</f>
        <v>50</v>
      </c>
      <c r="O73" s="166" t="s">
        <v>81</v>
      </c>
      <c r="P73" s="167">
        <f>ROUND(Invoerensolo!$BR$13*Invoerensolo!$C$1/100,4)</f>
        <v>0</v>
      </c>
      <c r="Q73" s="49">
        <f>Invoerensolo!$BT$13</f>
        <v>0</v>
      </c>
    </row>
    <row r="74" spans="2:17" ht="18" customHeight="1">
      <c r="B74" s="135">
        <f>Invoerensolo!$I$13</f>
        <v>0</v>
      </c>
      <c r="C74" s="135">
        <f>Invoerensolo!$G$13</f>
        <v>0</v>
      </c>
      <c r="D74" s="135">
        <f>Invoerensolo!$H$13</f>
        <v>0</v>
      </c>
      <c r="E74" s="126">
        <v>0.4</v>
      </c>
      <c r="F74" s="127"/>
      <c r="G74" s="127"/>
      <c r="H74" s="127"/>
      <c r="I74" s="128"/>
      <c r="J74" s="128"/>
      <c r="K74" s="136"/>
      <c r="L74" s="137" t="s">
        <v>82</v>
      </c>
      <c r="M74" s="138" t="s">
        <v>83</v>
      </c>
      <c r="N74" s="139">
        <f>Invoerensolo!$C$3</f>
        <v>0</v>
      </c>
      <c r="O74" s="140" t="s">
        <v>81</v>
      </c>
      <c r="P74" s="141">
        <f>ROUND(Invoerensolo!$O$13*Invoerensolo!$C$3/100,4)</f>
        <v>0</v>
      </c>
      <c r="Q74" s="7">
        <f>Invoerensolo!$P$13</f>
      </c>
    </row>
    <row r="75" spans="2:17" ht="18" customHeight="1">
      <c r="B75" s="135">
        <f>Invoerensolo!$L$13</f>
        <v>0</v>
      </c>
      <c r="C75" s="135">
        <f>Invoerensolo!$J$13</f>
        <v>0</v>
      </c>
      <c r="D75" s="135">
        <f>Invoerensolo!$K$13</f>
        <v>0</v>
      </c>
      <c r="E75" s="126">
        <v>0.3</v>
      </c>
      <c r="F75" s="127"/>
      <c r="G75" s="127"/>
      <c r="H75" s="127"/>
      <c r="I75" s="128"/>
      <c r="J75" s="128"/>
      <c r="K75" s="136"/>
      <c r="L75" s="137" t="s">
        <v>84</v>
      </c>
      <c r="M75" s="142"/>
      <c r="N75" s="142"/>
      <c r="O75" s="143"/>
      <c r="P75" s="143"/>
      <c r="Q75" s="7"/>
    </row>
    <row r="76" spans="2:17" ht="18" customHeight="1">
      <c r="B76" s="135"/>
      <c r="C76" s="135"/>
      <c r="D76" s="135"/>
      <c r="E76" s="142"/>
      <c r="F76" s="142"/>
      <c r="G76" s="144"/>
      <c r="H76" s="144"/>
      <c r="I76" s="145"/>
      <c r="J76" s="145"/>
      <c r="K76" s="146">
        <f>SUM(K73:K75)</f>
        <v>0</v>
      </c>
      <c r="L76" s="142"/>
      <c r="M76" s="142"/>
      <c r="N76" s="142"/>
      <c r="O76" s="143"/>
      <c r="P76" s="143"/>
      <c r="Q76" s="7"/>
    </row>
    <row r="77" spans="2:17" ht="18" customHeight="1">
      <c r="B77" s="135"/>
      <c r="C77" s="135"/>
      <c r="D77" s="135"/>
      <c r="E77" s="142"/>
      <c r="F77" s="142"/>
      <c r="G77" s="135"/>
      <c r="H77" s="135"/>
      <c r="I77" s="147"/>
      <c r="J77" s="148" t="s">
        <v>85</v>
      </c>
      <c r="K77" s="149"/>
      <c r="L77" s="137" t="s">
        <v>86</v>
      </c>
      <c r="M77" s="142"/>
      <c r="N77" s="142"/>
      <c r="O77" s="143"/>
      <c r="P77" s="143"/>
      <c r="Q77" s="7"/>
    </row>
    <row r="78" spans="2:17" ht="18" customHeight="1">
      <c r="B78" s="135"/>
      <c r="C78" s="150" t="s">
        <v>87</v>
      </c>
      <c r="D78" s="49">
        <f>Invoerensolo!$E$13</f>
        <v>0</v>
      </c>
      <c r="E78" s="151"/>
      <c r="F78" s="142"/>
      <c r="G78" s="135"/>
      <c r="H78" s="135"/>
      <c r="I78" s="147"/>
      <c r="J78" s="106"/>
      <c r="K78" s="152"/>
      <c r="L78" s="142"/>
      <c r="M78" s="148" t="s">
        <v>88</v>
      </c>
      <c r="N78" s="142">
        <f>Invoerensolo!$C$2</f>
        <v>50</v>
      </c>
      <c r="O78" s="153" t="s">
        <v>81</v>
      </c>
      <c r="P78" s="154"/>
      <c r="Q78" s="7">
        <f>Invoerensolo!$R$13</f>
      </c>
    </row>
    <row r="79" spans="2:17" ht="18" customHeight="1">
      <c r="B79" s="135"/>
      <c r="C79" s="150" t="s">
        <v>89</v>
      </c>
      <c r="D79" s="49">
        <f>Invoerensolo!$F$13</f>
        <v>0</v>
      </c>
      <c r="E79" s="151"/>
      <c r="F79" s="142"/>
      <c r="G79" s="135"/>
      <c r="H79" s="135"/>
      <c r="I79" s="155"/>
      <c r="J79" s="106"/>
      <c r="K79" s="152"/>
      <c r="L79" s="142"/>
      <c r="M79" s="156" t="s">
        <v>17</v>
      </c>
      <c r="N79" s="142"/>
      <c r="O79" s="142"/>
      <c r="P79" s="143">
        <f>P73+P74</f>
        <v>0</v>
      </c>
      <c r="Q79" s="157"/>
    </row>
    <row r="80" spans="2:17" ht="18" customHeight="1">
      <c r="B80" s="11"/>
      <c r="C80" s="158"/>
      <c r="D80" s="151"/>
      <c r="E80" s="158"/>
      <c r="F80" s="11"/>
      <c r="G80" s="11"/>
      <c r="H80" s="11"/>
      <c r="I80" s="11"/>
      <c r="J80" s="11"/>
      <c r="K80" s="11"/>
      <c r="L80" s="11"/>
      <c r="M80" s="159"/>
      <c r="N80" s="160"/>
      <c r="O80" s="158"/>
      <c r="P80" s="158"/>
      <c r="Q80" s="11"/>
    </row>
    <row r="81" spans="2:17" ht="18" customHeight="1">
      <c r="B81" s="155">
        <f>Invoerensolo!$A$14</f>
        <v>10</v>
      </c>
      <c r="C81" s="161">
        <f>Invoerensolo!$D$14</f>
        <v>0</v>
      </c>
      <c r="D81" s="125">
        <f>Invoerensolo!$M$14</f>
        <v>0</v>
      </c>
      <c r="E81" s="126">
        <v>0.3</v>
      </c>
      <c r="F81" s="162"/>
      <c r="G81" s="162"/>
      <c r="H81" s="162"/>
      <c r="I81" s="163"/>
      <c r="J81" s="163"/>
      <c r="K81" s="136"/>
      <c r="L81" s="130" t="s">
        <v>79</v>
      </c>
      <c r="M81" s="164" t="s">
        <v>80</v>
      </c>
      <c r="N81" s="165">
        <f>Invoerensolo!$C$1</f>
        <v>50</v>
      </c>
      <c r="O81" s="166" t="s">
        <v>81</v>
      </c>
      <c r="P81" s="167">
        <f>ROUND(Invoerensolo!$BR$14*Invoerensolo!$C$1/100,4)</f>
        <v>0</v>
      </c>
      <c r="Q81" s="49">
        <f>Invoerensolo!$BT$14</f>
        <v>0</v>
      </c>
    </row>
    <row r="82" spans="2:17" ht="18" customHeight="1">
      <c r="B82" s="135">
        <f>Invoerensolo!$I$14</f>
        <v>0</v>
      </c>
      <c r="C82" s="135">
        <f>Invoerensolo!$G$14</f>
        <v>0</v>
      </c>
      <c r="D82" s="135">
        <f>Invoerensolo!$H$14</f>
        <v>0</v>
      </c>
      <c r="E82" s="126">
        <v>0.4</v>
      </c>
      <c r="F82" s="127"/>
      <c r="G82" s="127"/>
      <c r="H82" s="127"/>
      <c r="I82" s="128"/>
      <c r="J82" s="128"/>
      <c r="K82" s="136"/>
      <c r="L82" s="137" t="s">
        <v>82</v>
      </c>
      <c r="M82" s="138" t="s">
        <v>83</v>
      </c>
      <c r="N82" s="139">
        <f>Invoerensolo!$C$3</f>
        <v>0</v>
      </c>
      <c r="O82" s="140" t="s">
        <v>81</v>
      </c>
      <c r="P82" s="141">
        <f>ROUND(Invoerensolo!$O$14*Invoerensolo!$C$3/100,4)</f>
        <v>0</v>
      </c>
      <c r="Q82" s="7">
        <f>Invoerensolo!$P$14</f>
      </c>
    </row>
    <row r="83" spans="2:17" ht="18" customHeight="1">
      <c r="B83" s="135">
        <f>Invoerensolo!$L$14</f>
        <v>0</v>
      </c>
      <c r="C83" s="135">
        <f>Invoerensolo!$J$14</f>
        <v>0</v>
      </c>
      <c r="D83" s="135">
        <f>Invoerensolo!$K$14</f>
        <v>0</v>
      </c>
      <c r="E83" s="126">
        <v>0.3</v>
      </c>
      <c r="F83" s="127"/>
      <c r="G83" s="127"/>
      <c r="H83" s="127"/>
      <c r="I83" s="128"/>
      <c r="J83" s="128"/>
      <c r="K83" s="136"/>
      <c r="L83" s="137" t="s">
        <v>84</v>
      </c>
      <c r="M83" s="142"/>
      <c r="N83" s="142"/>
      <c r="O83" s="143"/>
      <c r="P83" s="143"/>
      <c r="Q83" s="7"/>
    </row>
    <row r="84" spans="2:17" ht="18" customHeight="1">
      <c r="B84" s="135"/>
      <c r="C84" s="135"/>
      <c r="D84" s="135"/>
      <c r="E84" s="142"/>
      <c r="F84" s="142"/>
      <c r="G84" s="144"/>
      <c r="H84" s="144"/>
      <c r="I84" s="145"/>
      <c r="J84" s="145"/>
      <c r="K84" s="146">
        <f>SUM(K81:K83)</f>
        <v>0</v>
      </c>
      <c r="L84" s="142"/>
      <c r="M84" s="142"/>
      <c r="N84" s="142"/>
      <c r="O84" s="143"/>
      <c r="P84" s="143"/>
      <c r="Q84" s="7"/>
    </row>
    <row r="85" spans="2:17" ht="18" customHeight="1">
      <c r="B85" s="135"/>
      <c r="C85" s="135"/>
      <c r="D85" s="135"/>
      <c r="E85" s="142"/>
      <c r="F85" s="142"/>
      <c r="G85" s="135"/>
      <c r="H85" s="135"/>
      <c r="I85" s="147"/>
      <c r="J85" s="148" t="s">
        <v>85</v>
      </c>
      <c r="K85" s="149"/>
      <c r="L85" s="137" t="s">
        <v>86</v>
      </c>
      <c r="M85" s="142"/>
      <c r="N85" s="142"/>
      <c r="O85" s="143"/>
      <c r="P85" s="143"/>
      <c r="Q85" s="7"/>
    </row>
    <row r="86" spans="2:17" ht="18" customHeight="1">
      <c r="B86" s="135"/>
      <c r="C86" s="150" t="s">
        <v>87</v>
      </c>
      <c r="D86" s="49">
        <f>Invoerensolo!$E$14</f>
        <v>0</v>
      </c>
      <c r="E86" s="151"/>
      <c r="F86" s="142"/>
      <c r="G86" s="135"/>
      <c r="H86" s="135"/>
      <c r="I86" s="147"/>
      <c r="J86" s="106"/>
      <c r="K86" s="152"/>
      <c r="L86" s="142"/>
      <c r="M86" s="148" t="s">
        <v>88</v>
      </c>
      <c r="N86" s="142">
        <f>Invoerensolo!$C$2</f>
        <v>50</v>
      </c>
      <c r="O86" s="153" t="s">
        <v>81</v>
      </c>
      <c r="P86" s="154"/>
      <c r="Q86" s="7">
        <f>Invoerensolo!$R$14</f>
      </c>
    </row>
    <row r="87" spans="2:17" ht="18" customHeight="1">
      <c r="B87" s="135"/>
      <c r="C87" s="150" t="s">
        <v>89</v>
      </c>
      <c r="D87" s="49">
        <f>Invoerensolo!$F$14</f>
        <v>0</v>
      </c>
      <c r="E87" s="151"/>
      <c r="F87" s="142"/>
      <c r="G87" s="135"/>
      <c r="H87" s="135"/>
      <c r="I87" s="155"/>
      <c r="J87" s="106"/>
      <c r="K87" s="152"/>
      <c r="L87" s="142"/>
      <c r="M87" s="156" t="s">
        <v>17</v>
      </c>
      <c r="N87" s="142"/>
      <c r="O87" s="142"/>
      <c r="P87" s="143">
        <f>P81+P82</f>
        <v>0</v>
      </c>
      <c r="Q87" s="157"/>
    </row>
    <row r="88" spans="2:17" ht="18" customHeight="1">
      <c r="B88" s="11"/>
      <c r="C88" s="158"/>
      <c r="D88" s="151"/>
      <c r="E88" s="158"/>
      <c r="F88" s="11"/>
      <c r="G88" s="11"/>
      <c r="H88" s="11"/>
      <c r="I88" s="11"/>
      <c r="J88" s="11"/>
      <c r="K88" s="11"/>
      <c r="L88" s="11"/>
      <c r="M88" s="159"/>
      <c r="N88" s="160"/>
      <c r="O88" s="158"/>
      <c r="P88" s="158"/>
      <c r="Q88" s="11"/>
    </row>
    <row r="89" spans="2:17" ht="18" customHeight="1">
      <c r="B89" s="155">
        <f>Invoerensolo!$A$15</f>
        <v>11</v>
      </c>
      <c r="C89" s="161">
        <f>Invoerensolo!$D$15</f>
        <v>0</v>
      </c>
      <c r="D89" s="125">
        <f>Invoerensolo!$M$15</f>
        <v>0</v>
      </c>
      <c r="E89" s="126">
        <v>0.3</v>
      </c>
      <c r="F89" s="162"/>
      <c r="G89" s="162"/>
      <c r="H89" s="162"/>
      <c r="I89" s="163"/>
      <c r="J89" s="163"/>
      <c r="K89" s="136"/>
      <c r="L89" s="130" t="s">
        <v>79</v>
      </c>
      <c r="M89" s="164" t="s">
        <v>80</v>
      </c>
      <c r="N89" s="165">
        <f>Invoerensolo!$C$1</f>
        <v>50</v>
      </c>
      <c r="O89" s="166" t="s">
        <v>81</v>
      </c>
      <c r="P89" s="167">
        <f>ROUND(Invoerensolo!$BR$15*Invoerensolo!$C$1/100,4)</f>
        <v>0</v>
      </c>
      <c r="Q89" s="49">
        <f>Invoerensolo!$BT$15</f>
        <v>0</v>
      </c>
    </row>
    <row r="90" spans="2:17" ht="18" customHeight="1">
      <c r="B90" s="135">
        <f>Invoerensolo!$I$15</f>
        <v>0</v>
      </c>
      <c r="C90" s="135">
        <f>Invoerensolo!$G$15</f>
        <v>0</v>
      </c>
      <c r="D90" s="135">
        <f>Invoerensolo!$H$15</f>
        <v>0</v>
      </c>
      <c r="E90" s="126">
        <v>0.4</v>
      </c>
      <c r="F90" s="127"/>
      <c r="G90" s="127"/>
      <c r="H90" s="127"/>
      <c r="I90" s="128"/>
      <c r="J90" s="128"/>
      <c r="K90" s="136"/>
      <c r="L90" s="137" t="s">
        <v>82</v>
      </c>
      <c r="M90" s="138" t="s">
        <v>83</v>
      </c>
      <c r="N90" s="139">
        <f>Invoerensolo!$C$3</f>
        <v>0</v>
      </c>
      <c r="O90" s="140" t="s">
        <v>81</v>
      </c>
      <c r="P90" s="141">
        <f>ROUND(Invoerensolo!$O$15*Invoerensolo!$C$3/100,4)</f>
        <v>0</v>
      </c>
      <c r="Q90" s="7">
        <f>Invoerensolo!$P$15</f>
      </c>
    </row>
    <row r="91" spans="2:17" ht="18" customHeight="1">
      <c r="B91" s="135">
        <f>Invoerensolo!$L$15</f>
        <v>0</v>
      </c>
      <c r="C91" s="135">
        <f>Invoerensolo!$J$15</f>
        <v>0</v>
      </c>
      <c r="D91" s="135">
        <f>Invoerensolo!$K$15</f>
        <v>0</v>
      </c>
      <c r="E91" s="126">
        <v>0.3</v>
      </c>
      <c r="F91" s="127"/>
      <c r="G91" s="127"/>
      <c r="H91" s="127"/>
      <c r="I91" s="128"/>
      <c r="J91" s="128"/>
      <c r="K91" s="136"/>
      <c r="L91" s="137" t="s">
        <v>84</v>
      </c>
      <c r="M91" s="142"/>
      <c r="N91" s="142"/>
      <c r="O91" s="143"/>
      <c r="P91" s="143"/>
      <c r="Q91" s="7"/>
    </row>
    <row r="92" spans="2:17" ht="18" customHeight="1">
      <c r="B92" s="135"/>
      <c r="C92" s="135"/>
      <c r="D92" s="135"/>
      <c r="E92" s="142"/>
      <c r="F92" s="142"/>
      <c r="G92" s="144"/>
      <c r="H92" s="144"/>
      <c r="I92" s="145"/>
      <c r="J92" s="145"/>
      <c r="K92" s="146">
        <f>SUM(K89:K91)</f>
        <v>0</v>
      </c>
      <c r="L92" s="142"/>
      <c r="M92" s="142"/>
      <c r="N92" s="142"/>
      <c r="O92" s="143"/>
      <c r="P92" s="143"/>
      <c r="Q92" s="7"/>
    </row>
    <row r="93" spans="2:17" ht="18" customHeight="1">
      <c r="B93" s="135"/>
      <c r="C93" s="135"/>
      <c r="D93" s="135"/>
      <c r="E93" s="142"/>
      <c r="F93" s="142"/>
      <c r="G93" s="135"/>
      <c r="H93" s="135"/>
      <c r="I93" s="147"/>
      <c r="J93" s="148" t="s">
        <v>85</v>
      </c>
      <c r="K93" s="149"/>
      <c r="L93" s="137" t="s">
        <v>86</v>
      </c>
      <c r="M93" s="142"/>
      <c r="N93" s="142"/>
      <c r="O93" s="143"/>
      <c r="P93" s="143"/>
      <c r="Q93" s="7"/>
    </row>
    <row r="94" spans="2:17" ht="18" customHeight="1">
      <c r="B94" s="135"/>
      <c r="C94" s="150" t="s">
        <v>87</v>
      </c>
      <c r="D94" s="49">
        <f>Invoerensolo!$E$15</f>
        <v>0</v>
      </c>
      <c r="E94" s="151"/>
      <c r="F94" s="142"/>
      <c r="G94" s="135"/>
      <c r="H94" s="135"/>
      <c r="I94" s="147"/>
      <c r="J94" s="106"/>
      <c r="K94" s="152"/>
      <c r="L94" s="142"/>
      <c r="M94" s="148" t="s">
        <v>88</v>
      </c>
      <c r="N94" s="142">
        <f>Invoerensolo!$C$2</f>
        <v>50</v>
      </c>
      <c r="O94" s="153" t="s">
        <v>81</v>
      </c>
      <c r="P94" s="154"/>
      <c r="Q94" s="7">
        <f>Invoerensolo!$R$15</f>
      </c>
    </row>
    <row r="95" spans="2:17" ht="18" customHeight="1">
      <c r="B95" s="135"/>
      <c r="C95" s="150" t="s">
        <v>89</v>
      </c>
      <c r="D95" s="49">
        <f>Invoerensolo!$F$15</f>
        <v>0</v>
      </c>
      <c r="E95" s="151"/>
      <c r="F95" s="142"/>
      <c r="G95" s="135"/>
      <c r="H95" s="135"/>
      <c r="I95" s="155"/>
      <c r="J95" s="106"/>
      <c r="K95" s="152"/>
      <c r="L95" s="142"/>
      <c r="M95" s="156" t="s">
        <v>17</v>
      </c>
      <c r="N95" s="142"/>
      <c r="O95" s="142"/>
      <c r="P95" s="143">
        <f>P89+P90</f>
        <v>0</v>
      </c>
      <c r="Q95" s="157"/>
    </row>
    <row r="96" spans="2:17" ht="18" customHeight="1">
      <c r="B96" s="11"/>
      <c r="C96" s="158"/>
      <c r="D96" s="151"/>
      <c r="E96" s="158"/>
      <c r="F96" s="11"/>
      <c r="G96" s="11"/>
      <c r="H96" s="11"/>
      <c r="I96" s="11"/>
      <c r="J96" s="11"/>
      <c r="K96" s="11"/>
      <c r="L96" s="11"/>
      <c r="M96" s="159"/>
      <c r="N96" s="160"/>
      <c r="O96" s="158"/>
      <c r="P96" s="158"/>
      <c r="Q96" s="11"/>
    </row>
    <row r="97" spans="2:17" ht="18" customHeight="1">
      <c r="B97" s="155">
        <f>Invoerensolo!$A$16</f>
        <v>12</v>
      </c>
      <c r="C97" s="161">
        <f>Invoerensolo!$D$16</f>
        <v>0</v>
      </c>
      <c r="D97" s="125">
        <f>Invoerensolo!$M$16</f>
        <v>0</v>
      </c>
      <c r="E97" s="126">
        <v>0.3</v>
      </c>
      <c r="F97" s="162"/>
      <c r="G97" s="162"/>
      <c r="H97" s="162"/>
      <c r="I97" s="163"/>
      <c r="J97" s="163"/>
      <c r="K97" s="136"/>
      <c r="L97" s="130" t="s">
        <v>79</v>
      </c>
      <c r="M97" s="164" t="s">
        <v>80</v>
      </c>
      <c r="N97" s="165">
        <f>Invoerensolo!$C$1</f>
        <v>50</v>
      </c>
      <c r="O97" s="166" t="s">
        <v>81</v>
      </c>
      <c r="P97" s="167">
        <f>ROUND(Invoerensolo!$BR$16*Invoerensolo!$C$1/100,4)</f>
        <v>0</v>
      </c>
      <c r="Q97" s="49">
        <f>Invoerensolo!$BT$16</f>
        <v>0</v>
      </c>
    </row>
    <row r="98" spans="2:17" ht="18" customHeight="1">
      <c r="B98" s="135">
        <f>Invoerensolo!$I$16</f>
        <v>0</v>
      </c>
      <c r="C98" s="135">
        <f>Invoerensolo!$G$16</f>
        <v>0</v>
      </c>
      <c r="D98" s="135">
        <f>Invoerensolo!$H$16</f>
        <v>0</v>
      </c>
      <c r="E98" s="126">
        <v>0.4</v>
      </c>
      <c r="F98" s="127"/>
      <c r="G98" s="127"/>
      <c r="H98" s="127"/>
      <c r="I98" s="128"/>
      <c r="J98" s="128"/>
      <c r="K98" s="136"/>
      <c r="L98" s="137" t="s">
        <v>82</v>
      </c>
      <c r="M98" s="138" t="s">
        <v>83</v>
      </c>
      <c r="N98" s="139">
        <f>Invoerensolo!$C$3</f>
        <v>0</v>
      </c>
      <c r="O98" s="140" t="s">
        <v>81</v>
      </c>
      <c r="P98" s="141">
        <f>ROUND(Invoerensolo!$O$16*Invoerensolo!$C$3/100,4)</f>
        <v>0</v>
      </c>
      <c r="Q98" s="7">
        <f>Invoerensolo!$P$16</f>
      </c>
    </row>
    <row r="99" spans="2:17" ht="18" customHeight="1">
      <c r="B99" s="135">
        <f>Invoerensolo!$L$16</f>
        <v>0</v>
      </c>
      <c r="C99" s="135">
        <f>Invoerensolo!$J$16</f>
        <v>0</v>
      </c>
      <c r="D99" s="135">
        <f>Invoerensolo!$K$16</f>
        <v>0</v>
      </c>
      <c r="E99" s="126">
        <v>0.3</v>
      </c>
      <c r="F99" s="127"/>
      <c r="G99" s="127"/>
      <c r="H99" s="127"/>
      <c r="I99" s="128"/>
      <c r="J99" s="128"/>
      <c r="K99" s="136"/>
      <c r="L99" s="137" t="s">
        <v>84</v>
      </c>
      <c r="M99" s="142"/>
      <c r="N99" s="142"/>
      <c r="O99" s="143"/>
      <c r="P99" s="143"/>
      <c r="Q99" s="7"/>
    </row>
    <row r="100" spans="2:17" ht="18" customHeight="1">
      <c r="B100" s="135"/>
      <c r="C100" s="135"/>
      <c r="D100" s="135"/>
      <c r="E100" s="142"/>
      <c r="F100" s="142"/>
      <c r="G100" s="144"/>
      <c r="H100" s="144"/>
      <c r="I100" s="145"/>
      <c r="J100" s="145"/>
      <c r="K100" s="146">
        <f>SUM(K97:K99)</f>
        <v>0</v>
      </c>
      <c r="L100" s="142"/>
      <c r="M100" s="142"/>
      <c r="N100" s="142"/>
      <c r="O100" s="143"/>
      <c r="P100" s="143"/>
      <c r="Q100" s="7"/>
    </row>
    <row r="101" spans="2:17" ht="18" customHeight="1">
      <c r="B101" s="135"/>
      <c r="C101" s="135"/>
      <c r="D101" s="135"/>
      <c r="E101" s="142"/>
      <c r="F101" s="142"/>
      <c r="G101" s="135"/>
      <c r="H101" s="135"/>
      <c r="I101" s="147"/>
      <c r="J101" s="148" t="s">
        <v>85</v>
      </c>
      <c r="K101" s="149"/>
      <c r="L101" s="137" t="s">
        <v>86</v>
      </c>
      <c r="M101" s="142"/>
      <c r="N101" s="142"/>
      <c r="O101" s="143"/>
      <c r="P101" s="143"/>
      <c r="Q101" s="7"/>
    </row>
    <row r="102" spans="2:17" ht="18" customHeight="1">
      <c r="B102" s="135"/>
      <c r="C102" s="150" t="s">
        <v>87</v>
      </c>
      <c r="D102" s="49">
        <f>Invoerensolo!$E$16</f>
        <v>0</v>
      </c>
      <c r="E102" s="151"/>
      <c r="F102" s="142"/>
      <c r="G102" s="135"/>
      <c r="H102" s="135"/>
      <c r="I102" s="147"/>
      <c r="J102" s="106"/>
      <c r="K102" s="152"/>
      <c r="L102" s="142"/>
      <c r="M102" s="148" t="s">
        <v>88</v>
      </c>
      <c r="N102" s="142">
        <f>Invoerensolo!$C$2</f>
        <v>50</v>
      </c>
      <c r="O102" s="153" t="s">
        <v>81</v>
      </c>
      <c r="P102" s="154"/>
      <c r="Q102" s="7">
        <f>Invoerensolo!$R$16</f>
      </c>
    </row>
    <row r="103" spans="2:17" ht="18" customHeight="1">
      <c r="B103" s="135"/>
      <c r="C103" s="150" t="s">
        <v>89</v>
      </c>
      <c r="D103" s="49">
        <f>Invoerensolo!$F$16</f>
        <v>0</v>
      </c>
      <c r="E103" s="151"/>
      <c r="F103" s="142"/>
      <c r="G103" s="135"/>
      <c r="H103" s="135"/>
      <c r="I103" s="155"/>
      <c r="J103" s="106"/>
      <c r="K103" s="152"/>
      <c r="L103" s="142"/>
      <c r="M103" s="156" t="s">
        <v>17</v>
      </c>
      <c r="N103" s="142"/>
      <c r="O103" s="142"/>
      <c r="P103" s="143">
        <f>P97+P98</f>
        <v>0</v>
      </c>
      <c r="Q103" s="157"/>
    </row>
    <row r="104" spans="2:17" ht="18" customHeight="1">
      <c r="B104" s="11"/>
      <c r="C104" s="158"/>
      <c r="D104" s="151"/>
      <c r="E104" s="158"/>
      <c r="F104" s="11"/>
      <c r="G104" s="11"/>
      <c r="H104" s="11"/>
      <c r="I104" s="11"/>
      <c r="J104" s="11"/>
      <c r="K104" s="11"/>
      <c r="L104" s="11"/>
      <c r="M104" s="159"/>
      <c r="N104" s="160"/>
      <c r="O104" s="158"/>
      <c r="P104" s="158"/>
      <c r="Q104" s="11"/>
    </row>
    <row r="105" spans="2:17" ht="18" customHeight="1">
      <c r="B105" s="155">
        <f>Invoerensolo!$A$17</f>
        <v>13</v>
      </c>
      <c r="C105" s="161">
        <f>Invoerensolo!$D$17</f>
        <v>0</v>
      </c>
      <c r="D105" s="125">
        <f>Invoerensolo!$M$17</f>
        <v>0</v>
      </c>
      <c r="E105" s="126">
        <v>0.3</v>
      </c>
      <c r="F105" s="162"/>
      <c r="G105" s="162"/>
      <c r="H105" s="162"/>
      <c r="I105" s="163"/>
      <c r="J105" s="163"/>
      <c r="K105" s="136"/>
      <c r="L105" s="130" t="s">
        <v>79</v>
      </c>
      <c r="M105" s="164" t="s">
        <v>80</v>
      </c>
      <c r="N105" s="165">
        <f>Invoerensolo!$C$1</f>
        <v>50</v>
      </c>
      <c r="O105" s="166" t="s">
        <v>81</v>
      </c>
      <c r="P105" s="167">
        <f>ROUND(Invoerensolo!$BR$17*Invoerensolo!$C$1/100,4)</f>
        <v>0</v>
      </c>
      <c r="Q105" s="49">
        <f>Invoerensolo!$BT$17</f>
        <v>0</v>
      </c>
    </row>
    <row r="106" spans="2:17" ht="18" customHeight="1">
      <c r="B106" s="135">
        <f>Invoerensolo!$I$17</f>
        <v>0</v>
      </c>
      <c r="C106" s="135">
        <f>Invoerensolo!$G$17</f>
        <v>0</v>
      </c>
      <c r="D106" s="135">
        <f>Invoerensolo!$H$17</f>
        <v>0</v>
      </c>
      <c r="E106" s="126">
        <v>0.4</v>
      </c>
      <c r="F106" s="127"/>
      <c r="G106" s="127"/>
      <c r="H106" s="127"/>
      <c r="I106" s="128"/>
      <c r="J106" s="128"/>
      <c r="K106" s="136"/>
      <c r="L106" s="137" t="s">
        <v>82</v>
      </c>
      <c r="M106" s="138" t="s">
        <v>83</v>
      </c>
      <c r="N106" s="139">
        <f>Invoerensolo!$C$3</f>
        <v>0</v>
      </c>
      <c r="O106" s="140" t="s">
        <v>81</v>
      </c>
      <c r="P106" s="141">
        <f>ROUND(Invoerensolo!$O$17*Invoerensolo!$C$3/100,4)</f>
        <v>0</v>
      </c>
      <c r="Q106" s="7">
        <f>Invoerensolo!$P$17</f>
      </c>
    </row>
    <row r="107" spans="2:17" ht="18" customHeight="1">
      <c r="B107" s="135">
        <f>Invoerensolo!$L$17</f>
        <v>0</v>
      </c>
      <c r="C107" s="135">
        <f>Invoerensolo!$J$17</f>
        <v>0</v>
      </c>
      <c r="D107" s="135">
        <f>Invoerensolo!$K$17</f>
        <v>0</v>
      </c>
      <c r="E107" s="126">
        <v>0.3</v>
      </c>
      <c r="F107" s="127"/>
      <c r="G107" s="127"/>
      <c r="H107" s="127"/>
      <c r="I107" s="128"/>
      <c r="J107" s="128"/>
      <c r="K107" s="136"/>
      <c r="L107" s="137" t="s">
        <v>84</v>
      </c>
      <c r="M107" s="142"/>
      <c r="N107" s="142"/>
      <c r="O107" s="143"/>
      <c r="P107" s="143"/>
      <c r="Q107" s="7"/>
    </row>
    <row r="108" spans="2:17" ht="18" customHeight="1">
      <c r="B108" s="135"/>
      <c r="C108" s="135"/>
      <c r="D108" s="135"/>
      <c r="E108" s="142"/>
      <c r="F108" s="142"/>
      <c r="G108" s="144"/>
      <c r="H108" s="144"/>
      <c r="I108" s="145"/>
      <c r="J108" s="145"/>
      <c r="K108" s="146">
        <f>SUM(K105:K107)</f>
        <v>0</v>
      </c>
      <c r="L108" s="142"/>
      <c r="M108" s="142"/>
      <c r="N108" s="142"/>
      <c r="O108" s="143"/>
      <c r="P108" s="143"/>
      <c r="Q108" s="7"/>
    </row>
    <row r="109" spans="2:17" ht="18" customHeight="1">
      <c r="B109" s="135"/>
      <c r="C109" s="135"/>
      <c r="D109" s="135"/>
      <c r="E109" s="142"/>
      <c r="F109" s="142"/>
      <c r="G109" s="135"/>
      <c r="H109" s="135"/>
      <c r="I109" s="147"/>
      <c r="J109" s="148" t="s">
        <v>85</v>
      </c>
      <c r="K109" s="149"/>
      <c r="L109" s="137" t="s">
        <v>86</v>
      </c>
      <c r="M109" s="142"/>
      <c r="N109" s="142"/>
      <c r="O109" s="143"/>
      <c r="P109" s="143"/>
      <c r="Q109" s="7"/>
    </row>
    <row r="110" spans="2:17" ht="18" customHeight="1">
      <c r="B110" s="135"/>
      <c r="C110" s="150" t="s">
        <v>87</v>
      </c>
      <c r="D110" s="49">
        <f>Invoerensolo!$E$17</f>
        <v>0</v>
      </c>
      <c r="E110" s="151"/>
      <c r="F110" s="142"/>
      <c r="G110" s="135"/>
      <c r="H110" s="135"/>
      <c r="I110" s="147"/>
      <c r="J110" s="106"/>
      <c r="K110" s="152"/>
      <c r="L110" s="142"/>
      <c r="M110" s="148" t="s">
        <v>88</v>
      </c>
      <c r="N110" s="142">
        <f>Invoerensolo!$C$2</f>
        <v>50</v>
      </c>
      <c r="O110" s="153" t="s">
        <v>81</v>
      </c>
      <c r="P110" s="154"/>
      <c r="Q110" s="7">
        <f>Invoerensolo!$R$17</f>
      </c>
    </row>
    <row r="111" spans="2:17" ht="18" customHeight="1">
      <c r="B111" s="135"/>
      <c r="C111" s="150" t="s">
        <v>89</v>
      </c>
      <c r="D111" s="49">
        <f>Invoerensolo!$F$17</f>
        <v>0</v>
      </c>
      <c r="E111" s="151"/>
      <c r="F111" s="142"/>
      <c r="G111" s="135"/>
      <c r="H111" s="135"/>
      <c r="I111" s="155"/>
      <c r="J111" s="106"/>
      <c r="K111" s="152"/>
      <c r="L111" s="142"/>
      <c r="M111" s="156" t="s">
        <v>17</v>
      </c>
      <c r="N111" s="142"/>
      <c r="O111" s="142"/>
      <c r="P111" s="143">
        <f>P105+P106</f>
        <v>0</v>
      </c>
      <c r="Q111" s="157"/>
    </row>
    <row r="112" spans="2:17" ht="18" customHeight="1">
      <c r="B112" s="11"/>
      <c r="C112" s="158"/>
      <c r="D112" s="151"/>
      <c r="E112" s="158"/>
      <c r="F112" s="11"/>
      <c r="G112" s="11"/>
      <c r="H112" s="11"/>
      <c r="I112" s="11"/>
      <c r="J112" s="11"/>
      <c r="K112" s="11"/>
      <c r="L112" s="11"/>
      <c r="M112" s="159"/>
      <c r="N112" s="160"/>
      <c r="O112" s="158"/>
      <c r="P112" s="158"/>
      <c r="Q112" s="11"/>
    </row>
    <row r="113" spans="2:17" ht="18" customHeight="1">
      <c r="B113" s="155">
        <f>Invoerensolo!$A$18</f>
        <v>14</v>
      </c>
      <c r="C113" s="161">
        <f>Invoerensolo!$D$18</f>
        <v>0</v>
      </c>
      <c r="D113" s="125">
        <f>Invoerensolo!$M$18</f>
        <v>0</v>
      </c>
      <c r="E113" s="126">
        <v>0.3</v>
      </c>
      <c r="F113" s="162"/>
      <c r="G113" s="162"/>
      <c r="H113" s="162"/>
      <c r="I113" s="163"/>
      <c r="J113" s="163"/>
      <c r="K113" s="136"/>
      <c r="L113" s="130" t="s">
        <v>79</v>
      </c>
      <c r="M113" s="164" t="s">
        <v>80</v>
      </c>
      <c r="N113" s="165">
        <f>Invoerensolo!$C$1</f>
        <v>50</v>
      </c>
      <c r="O113" s="166" t="s">
        <v>81</v>
      </c>
      <c r="P113" s="167">
        <f>ROUND(Invoerensolo!$BR$18*Invoerensolo!$C$1/100,4)</f>
        <v>0</v>
      </c>
      <c r="Q113" s="49">
        <f>Invoerensolo!$BT$18</f>
        <v>0</v>
      </c>
    </row>
    <row r="114" spans="2:17" ht="18" customHeight="1">
      <c r="B114" s="135">
        <f>Invoerensolo!$I$18</f>
        <v>0</v>
      </c>
      <c r="C114" s="135">
        <f>Invoerensolo!$G$18</f>
        <v>0</v>
      </c>
      <c r="D114" s="135">
        <f>Invoerensolo!$H$18</f>
        <v>0</v>
      </c>
      <c r="E114" s="126">
        <v>0.4</v>
      </c>
      <c r="F114" s="127"/>
      <c r="G114" s="127"/>
      <c r="H114" s="127"/>
      <c r="I114" s="128"/>
      <c r="J114" s="128"/>
      <c r="K114" s="136"/>
      <c r="L114" s="137" t="s">
        <v>82</v>
      </c>
      <c r="M114" s="138" t="s">
        <v>83</v>
      </c>
      <c r="N114" s="139">
        <f>Invoerensolo!$C$3</f>
        <v>0</v>
      </c>
      <c r="O114" s="140" t="s">
        <v>81</v>
      </c>
      <c r="P114" s="141">
        <f>ROUND(Invoerensolo!$O$18*Invoerensolo!$C$3/100,4)</f>
        <v>0</v>
      </c>
      <c r="Q114" s="7">
        <f>Invoerensolo!$P$18</f>
      </c>
    </row>
    <row r="115" spans="2:17" ht="18" customHeight="1">
      <c r="B115" s="135">
        <f>Invoerensolo!$L$18</f>
        <v>0</v>
      </c>
      <c r="C115" s="135">
        <f>Invoerensolo!$J$18</f>
        <v>0</v>
      </c>
      <c r="D115" s="135">
        <f>Invoerensolo!$K$18</f>
        <v>0</v>
      </c>
      <c r="E115" s="126">
        <v>0.3</v>
      </c>
      <c r="F115" s="127"/>
      <c r="G115" s="127"/>
      <c r="H115" s="127"/>
      <c r="I115" s="128"/>
      <c r="J115" s="128"/>
      <c r="K115" s="136"/>
      <c r="L115" s="137" t="s">
        <v>84</v>
      </c>
      <c r="M115" s="142"/>
      <c r="N115" s="142"/>
      <c r="O115" s="143"/>
      <c r="P115" s="143"/>
      <c r="Q115" s="7"/>
    </row>
    <row r="116" spans="2:17" ht="18" customHeight="1">
      <c r="B116" s="135"/>
      <c r="C116" s="135"/>
      <c r="D116" s="135"/>
      <c r="E116" s="142"/>
      <c r="F116" s="142"/>
      <c r="G116" s="144"/>
      <c r="H116" s="144"/>
      <c r="I116" s="145"/>
      <c r="J116" s="145"/>
      <c r="K116" s="146">
        <f>SUM(K113:K115)</f>
        <v>0</v>
      </c>
      <c r="L116" s="142"/>
      <c r="M116" s="142"/>
      <c r="N116" s="142"/>
      <c r="O116" s="143"/>
      <c r="P116" s="143"/>
      <c r="Q116" s="7"/>
    </row>
    <row r="117" spans="2:17" ht="18" customHeight="1">
      <c r="B117" s="135"/>
      <c r="C117" s="135"/>
      <c r="D117" s="135"/>
      <c r="E117" s="142"/>
      <c r="F117" s="142"/>
      <c r="G117" s="135"/>
      <c r="H117" s="135"/>
      <c r="I117" s="147"/>
      <c r="J117" s="148" t="s">
        <v>85</v>
      </c>
      <c r="K117" s="149"/>
      <c r="L117" s="137" t="s">
        <v>86</v>
      </c>
      <c r="M117" s="142"/>
      <c r="N117" s="142"/>
      <c r="O117" s="143"/>
      <c r="P117" s="143"/>
      <c r="Q117" s="7"/>
    </row>
    <row r="118" spans="2:17" ht="18" customHeight="1">
      <c r="B118" s="135"/>
      <c r="C118" s="150" t="s">
        <v>87</v>
      </c>
      <c r="D118" s="49">
        <f>Invoerensolo!$E$18</f>
        <v>0</v>
      </c>
      <c r="E118" s="151"/>
      <c r="F118" s="142"/>
      <c r="G118" s="135"/>
      <c r="H118" s="135"/>
      <c r="I118" s="147"/>
      <c r="J118" s="106"/>
      <c r="K118" s="152"/>
      <c r="L118" s="142"/>
      <c r="M118" s="148" t="s">
        <v>88</v>
      </c>
      <c r="N118" s="142">
        <f>Invoerensolo!$C$2</f>
        <v>50</v>
      </c>
      <c r="O118" s="153" t="s">
        <v>81</v>
      </c>
      <c r="P118" s="154"/>
      <c r="Q118" s="7">
        <f>Invoerensolo!$R$18</f>
      </c>
    </row>
    <row r="119" spans="2:17" ht="18" customHeight="1">
      <c r="B119" s="135"/>
      <c r="C119" s="150" t="s">
        <v>89</v>
      </c>
      <c r="D119" s="49">
        <f>Invoerensolo!$F$18</f>
        <v>0</v>
      </c>
      <c r="E119" s="151"/>
      <c r="F119" s="142"/>
      <c r="G119" s="135"/>
      <c r="H119" s="135"/>
      <c r="I119" s="155"/>
      <c r="J119" s="106"/>
      <c r="K119" s="152"/>
      <c r="L119" s="142"/>
      <c r="M119" s="156" t="s">
        <v>17</v>
      </c>
      <c r="N119" s="142"/>
      <c r="O119" s="142"/>
      <c r="P119" s="143">
        <f>P113+P114</f>
        <v>0</v>
      </c>
      <c r="Q119" s="157"/>
    </row>
    <row r="120" spans="2:17" ht="18" customHeight="1">
      <c r="B120" s="11"/>
      <c r="C120" s="158"/>
      <c r="D120" s="151"/>
      <c r="E120" s="158"/>
      <c r="F120" s="11"/>
      <c r="G120" s="11"/>
      <c r="H120" s="11"/>
      <c r="I120" s="11"/>
      <c r="J120" s="11"/>
      <c r="K120" s="11"/>
      <c r="L120" s="11"/>
      <c r="M120" s="159"/>
      <c r="N120" s="160"/>
      <c r="O120" s="158"/>
      <c r="P120" s="158"/>
      <c r="Q120" s="11"/>
    </row>
    <row r="121" spans="2:17" ht="18" customHeight="1">
      <c r="B121" s="155">
        <f>Invoerensolo!$A$19</f>
        <v>15</v>
      </c>
      <c r="C121" s="161">
        <f>Invoerensolo!$D$19</f>
        <v>0</v>
      </c>
      <c r="D121" s="125">
        <f>Invoerensolo!$M$19</f>
        <v>0</v>
      </c>
      <c r="E121" s="126">
        <v>0.3</v>
      </c>
      <c r="F121" s="162"/>
      <c r="G121" s="162"/>
      <c r="H121" s="162"/>
      <c r="I121" s="163"/>
      <c r="J121" s="163"/>
      <c r="K121" s="136"/>
      <c r="L121" s="130" t="s">
        <v>79</v>
      </c>
      <c r="M121" s="164" t="s">
        <v>80</v>
      </c>
      <c r="N121" s="165">
        <f>Invoerensolo!$C$1</f>
        <v>50</v>
      </c>
      <c r="O121" s="166" t="s">
        <v>81</v>
      </c>
      <c r="P121" s="167">
        <f>ROUND(Invoerensolo!$BR$19*Invoerensolo!$C$1/100,4)</f>
        <v>0</v>
      </c>
      <c r="Q121" s="49">
        <f>Invoerensolo!$BT$19</f>
        <v>0</v>
      </c>
    </row>
    <row r="122" spans="2:17" ht="18" customHeight="1">
      <c r="B122" s="135">
        <f>Invoerensolo!$I$19</f>
        <v>0</v>
      </c>
      <c r="C122" s="135">
        <f>Invoerensolo!$G$19</f>
        <v>0</v>
      </c>
      <c r="D122" s="135">
        <f>Invoerensolo!$H$19</f>
        <v>0</v>
      </c>
      <c r="E122" s="126">
        <v>0.4</v>
      </c>
      <c r="F122" s="127"/>
      <c r="G122" s="127"/>
      <c r="H122" s="127"/>
      <c r="I122" s="128"/>
      <c r="J122" s="128"/>
      <c r="K122" s="136"/>
      <c r="L122" s="137" t="s">
        <v>82</v>
      </c>
      <c r="M122" s="138" t="s">
        <v>83</v>
      </c>
      <c r="N122" s="139">
        <f>Invoerensolo!$C$3</f>
        <v>0</v>
      </c>
      <c r="O122" s="140" t="s">
        <v>81</v>
      </c>
      <c r="P122" s="141">
        <f>ROUND(Invoerensolo!$O$19*Invoerensolo!$C$3/100,4)</f>
        <v>0</v>
      </c>
      <c r="Q122" s="7">
        <f>Invoerensolo!$P$19</f>
      </c>
    </row>
    <row r="123" spans="2:17" ht="18" customHeight="1">
      <c r="B123" s="135">
        <f>Invoerensolo!$L$19</f>
        <v>0</v>
      </c>
      <c r="C123" s="135">
        <f>Invoerensolo!$J$19</f>
        <v>0</v>
      </c>
      <c r="D123" s="135">
        <f>Invoerensolo!$K$19</f>
        <v>0</v>
      </c>
      <c r="E123" s="126">
        <v>0.3</v>
      </c>
      <c r="F123" s="127"/>
      <c r="G123" s="127"/>
      <c r="H123" s="127"/>
      <c r="I123" s="128"/>
      <c r="J123" s="128"/>
      <c r="K123" s="136"/>
      <c r="L123" s="137" t="s">
        <v>84</v>
      </c>
      <c r="M123" s="142"/>
      <c r="N123" s="142"/>
      <c r="O123" s="143"/>
      <c r="P123" s="143"/>
      <c r="Q123" s="7"/>
    </row>
    <row r="124" spans="2:17" ht="18" customHeight="1">
      <c r="B124" s="135"/>
      <c r="C124" s="135"/>
      <c r="D124" s="135"/>
      <c r="E124" s="142"/>
      <c r="F124" s="142"/>
      <c r="G124" s="144"/>
      <c r="H124" s="144"/>
      <c r="I124" s="145"/>
      <c r="J124" s="145"/>
      <c r="K124" s="146">
        <f>SUM(K121:K123)</f>
        <v>0</v>
      </c>
      <c r="L124" s="142"/>
      <c r="M124" s="142"/>
      <c r="N124" s="142"/>
      <c r="O124" s="143"/>
      <c r="P124" s="143"/>
      <c r="Q124" s="7"/>
    </row>
    <row r="125" spans="2:17" ht="18" customHeight="1">
      <c r="B125" s="135"/>
      <c r="C125" s="135"/>
      <c r="D125" s="135"/>
      <c r="E125" s="142"/>
      <c r="F125" s="142"/>
      <c r="G125" s="135"/>
      <c r="H125" s="135"/>
      <c r="I125" s="147"/>
      <c r="J125" s="148" t="s">
        <v>85</v>
      </c>
      <c r="K125" s="149"/>
      <c r="L125" s="137" t="s">
        <v>86</v>
      </c>
      <c r="M125" s="142"/>
      <c r="N125" s="142"/>
      <c r="O125" s="143"/>
      <c r="P125" s="143"/>
      <c r="Q125" s="7"/>
    </row>
    <row r="126" spans="2:17" ht="18" customHeight="1">
      <c r="B126" s="135"/>
      <c r="C126" s="150" t="s">
        <v>87</v>
      </c>
      <c r="D126" s="49">
        <f>Invoerensolo!$E$19</f>
        <v>0</v>
      </c>
      <c r="E126" s="151"/>
      <c r="F126" s="142"/>
      <c r="G126" s="135"/>
      <c r="H126" s="135"/>
      <c r="I126" s="147"/>
      <c r="J126" s="106"/>
      <c r="K126" s="152"/>
      <c r="L126" s="142"/>
      <c r="M126" s="148" t="s">
        <v>88</v>
      </c>
      <c r="N126" s="142">
        <f>Invoerensolo!$C$2</f>
        <v>50</v>
      </c>
      <c r="O126" s="153" t="s">
        <v>81</v>
      </c>
      <c r="P126" s="154"/>
      <c r="Q126" s="7">
        <f>Invoerensolo!$R$19</f>
      </c>
    </row>
    <row r="127" spans="2:17" ht="18" customHeight="1">
      <c r="B127" s="135"/>
      <c r="C127" s="150" t="s">
        <v>89</v>
      </c>
      <c r="D127" s="49">
        <f>Invoerensolo!$F$19</f>
        <v>0</v>
      </c>
      <c r="E127" s="151"/>
      <c r="F127" s="142"/>
      <c r="G127" s="135"/>
      <c r="H127" s="135"/>
      <c r="I127" s="155"/>
      <c r="J127" s="106"/>
      <c r="K127" s="152"/>
      <c r="L127" s="142"/>
      <c r="M127" s="156" t="s">
        <v>17</v>
      </c>
      <c r="N127" s="142"/>
      <c r="O127" s="142"/>
      <c r="P127" s="143">
        <f>P121+P122</f>
        <v>0</v>
      </c>
      <c r="Q127" s="157"/>
    </row>
    <row r="128" spans="2:17" ht="18" customHeight="1">
      <c r="B128" s="11"/>
      <c r="C128" s="158"/>
      <c r="D128" s="151"/>
      <c r="E128" s="158"/>
      <c r="F128" s="11"/>
      <c r="G128" s="11"/>
      <c r="H128" s="11"/>
      <c r="I128" s="11"/>
      <c r="J128" s="11"/>
      <c r="K128" s="11"/>
      <c r="L128" s="11"/>
      <c r="M128" s="159"/>
      <c r="N128" s="160"/>
      <c r="O128" s="158"/>
      <c r="P128" s="158"/>
      <c r="Q128" s="11"/>
    </row>
    <row r="129" spans="2:17" ht="18" customHeight="1">
      <c r="B129" s="155">
        <f>Invoerensolo!$A$20</f>
        <v>16</v>
      </c>
      <c r="C129" s="161">
        <f>Invoerensolo!$D$20</f>
        <v>0</v>
      </c>
      <c r="D129" s="125">
        <f>Invoerensolo!$M$20</f>
        <v>0</v>
      </c>
      <c r="E129" s="126">
        <v>0.3</v>
      </c>
      <c r="F129" s="162"/>
      <c r="G129" s="162"/>
      <c r="H129" s="162"/>
      <c r="I129" s="163"/>
      <c r="J129" s="163"/>
      <c r="K129" s="136"/>
      <c r="L129" s="130" t="s">
        <v>79</v>
      </c>
      <c r="M129" s="164" t="s">
        <v>80</v>
      </c>
      <c r="N129" s="165">
        <f>Invoerensolo!$C$1</f>
        <v>50</v>
      </c>
      <c r="O129" s="166" t="s">
        <v>81</v>
      </c>
      <c r="P129" s="167">
        <f>ROUND(Invoerensolo!$BR$20*Invoerensolo!$C$1/100,4)</f>
        <v>0</v>
      </c>
      <c r="Q129" s="49">
        <f>Invoerensolo!$BT$20</f>
        <v>0</v>
      </c>
    </row>
    <row r="130" spans="2:17" ht="18" customHeight="1">
      <c r="B130" s="135">
        <f>Invoerensolo!$I$20</f>
        <v>0</v>
      </c>
      <c r="C130" s="135">
        <f>Invoerensolo!$G$20</f>
        <v>0</v>
      </c>
      <c r="D130" s="135">
        <f>Invoerensolo!$H$20</f>
        <v>0</v>
      </c>
      <c r="E130" s="126">
        <v>0.4</v>
      </c>
      <c r="F130" s="127"/>
      <c r="G130" s="127"/>
      <c r="H130" s="127"/>
      <c r="I130" s="128"/>
      <c r="J130" s="128"/>
      <c r="K130" s="136"/>
      <c r="L130" s="137" t="s">
        <v>82</v>
      </c>
      <c r="M130" s="138" t="s">
        <v>83</v>
      </c>
      <c r="N130" s="139">
        <f>Invoerensolo!$C$3</f>
        <v>0</v>
      </c>
      <c r="O130" s="140" t="s">
        <v>81</v>
      </c>
      <c r="P130" s="141">
        <f>ROUND(Invoerensolo!$O$20*Invoerensolo!$C$3/100,4)</f>
        <v>0</v>
      </c>
      <c r="Q130" s="7">
        <f>Invoerensolo!$P$20</f>
      </c>
    </row>
    <row r="131" spans="2:17" ht="18" customHeight="1">
      <c r="B131" s="135">
        <f>Invoerensolo!$L$20</f>
        <v>0</v>
      </c>
      <c r="C131" s="135">
        <f>Invoerensolo!$J$20</f>
        <v>0</v>
      </c>
      <c r="D131" s="135">
        <f>Invoerensolo!$K$20</f>
        <v>0</v>
      </c>
      <c r="E131" s="126">
        <v>0.3</v>
      </c>
      <c r="F131" s="127"/>
      <c r="G131" s="127"/>
      <c r="H131" s="127"/>
      <c r="I131" s="128"/>
      <c r="J131" s="128"/>
      <c r="K131" s="136"/>
      <c r="L131" s="137" t="s">
        <v>84</v>
      </c>
      <c r="M131" s="142"/>
      <c r="N131" s="142"/>
      <c r="O131" s="143"/>
      <c r="P131" s="143"/>
      <c r="Q131" s="7"/>
    </row>
    <row r="132" spans="2:17" ht="18" customHeight="1">
      <c r="B132" s="135"/>
      <c r="C132" s="135"/>
      <c r="D132" s="135"/>
      <c r="E132" s="142"/>
      <c r="F132" s="142"/>
      <c r="G132" s="144"/>
      <c r="H132" s="144"/>
      <c r="I132" s="145"/>
      <c r="J132" s="145"/>
      <c r="K132" s="146">
        <f>SUM(K129:K131)</f>
        <v>0</v>
      </c>
      <c r="L132" s="142"/>
      <c r="M132" s="142"/>
      <c r="N132" s="142"/>
      <c r="O132" s="143"/>
      <c r="P132" s="143"/>
      <c r="Q132" s="7"/>
    </row>
    <row r="133" spans="2:17" ht="18" customHeight="1">
      <c r="B133" s="135"/>
      <c r="C133" s="135"/>
      <c r="D133" s="135"/>
      <c r="E133" s="142"/>
      <c r="F133" s="142"/>
      <c r="G133" s="135"/>
      <c r="H133" s="135"/>
      <c r="I133" s="147"/>
      <c r="J133" s="148" t="s">
        <v>85</v>
      </c>
      <c r="K133" s="149"/>
      <c r="L133" s="137" t="s">
        <v>86</v>
      </c>
      <c r="M133" s="142"/>
      <c r="N133" s="142"/>
      <c r="O133" s="143"/>
      <c r="P133" s="143"/>
      <c r="Q133" s="7"/>
    </row>
    <row r="134" spans="2:17" ht="18" customHeight="1">
      <c r="B134" s="135"/>
      <c r="C134" s="150" t="s">
        <v>87</v>
      </c>
      <c r="D134" s="49">
        <f>Invoerensolo!$E$20</f>
        <v>0</v>
      </c>
      <c r="E134" s="151"/>
      <c r="F134" s="142"/>
      <c r="G134" s="135"/>
      <c r="H134" s="135"/>
      <c r="I134" s="147"/>
      <c r="J134" s="106"/>
      <c r="K134" s="152"/>
      <c r="L134" s="142"/>
      <c r="M134" s="148" t="s">
        <v>88</v>
      </c>
      <c r="N134" s="142">
        <f>Invoerensolo!$C$2</f>
        <v>50</v>
      </c>
      <c r="O134" s="153" t="s">
        <v>81</v>
      </c>
      <c r="P134" s="154"/>
      <c r="Q134" s="7">
        <f>Invoerensolo!$R$20</f>
      </c>
    </row>
    <row r="135" spans="2:17" ht="18" customHeight="1">
      <c r="B135" s="135"/>
      <c r="C135" s="150" t="s">
        <v>89</v>
      </c>
      <c r="D135" s="49">
        <f>Invoerensolo!$F$20</f>
        <v>0</v>
      </c>
      <c r="E135" s="151"/>
      <c r="F135" s="142"/>
      <c r="G135" s="135"/>
      <c r="H135" s="135"/>
      <c r="I135" s="155"/>
      <c r="J135" s="106"/>
      <c r="K135" s="152"/>
      <c r="L135" s="142"/>
      <c r="M135" s="156" t="s">
        <v>17</v>
      </c>
      <c r="N135" s="142"/>
      <c r="O135" s="142"/>
      <c r="P135" s="143">
        <f>P129+P130</f>
        <v>0</v>
      </c>
      <c r="Q135" s="157"/>
    </row>
    <row r="136" spans="2:17" ht="18" customHeight="1">
      <c r="B136" s="11"/>
      <c r="C136" s="158"/>
      <c r="D136" s="151"/>
      <c r="E136" s="158"/>
      <c r="F136" s="11"/>
      <c r="G136" s="11"/>
      <c r="H136" s="11"/>
      <c r="I136" s="11"/>
      <c r="J136" s="11"/>
      <c r="K136" s="11"/>
      <c r="L136" s="11"/>
      <c r="M136" s="159"/>
      <c r="N136" s="160"/>
      <c r="O136" s="158"/>
      <c r="P136" s="158"/>
      <c r="Q136" s="11"/>
    </row>
    <row r="137" spans="2:17" ht="18" customHeight="1">
      <c r="B137" s="155">
        <f>Invoerensolo!$A$21</f>
        <v>17</v>
      </c>
      <c r="C137" s="161">
        <f>Invoerensolo!$D$21</f>
        <v>0</v>
      </c>
      <c r="D137" s="125">
        <f>Invoerensolo!$M$21</f>
        <v>0</v>
      </c>
      <c r="E137" s="126">
        <v>0.3</v>
      </c>
      <c r="F137" s="162"/>
      <c r="G137" s="162"/>
      <c r="H137" s="162"/>
      <c r="I137" s="163"/>
      <c r="J137" s="163"/>
      <c r="K137" s="136"/>
      <c r="L137" s="130" t="s">
        <v>79</v>
      </c>
      <c r="M137" s="164" t="s">
        <v>80</v>
      </c>
      <c r="N137" s="165">
        <f>Invoerensolo!$C$1</f>
        <v>50</v>
      </c>
      <c r="O137" s="166" t="s">
        <v>81</v>
      </c>
      <c r="P137" s="167">
        <f>ROUND(Invoerensolo!$BR$21*Invoerensolo!$C$1/100,4)</f>
        <v>0</v>
      </c>
      <c r="Q137" s="49">
        <f>Invoerensolo!$BT$21</f>
        <v>0</v>
      </c>
    </row>
    <row r="138" spans="2:17" ht="18" customHeight="1">
      <c r="B138" s="135">
        <f>Invoerensolo!$I$21</f>
        <v>0</v>
      </c>
      <c r="C138" s="135">
        <f>Invoerensolo!$G$21</f>
        <v>0</v>
      </c>
      <c r="D138" s="135">
        <f>Invoerensolo!$H$21</f>
        <v>0</v>
      </c>
      <c r="E138" s="126">
        <v>0.4</v>
      </c>
      <c r="F138" s="127"/>
      <c r="G138" s="127"/>
      <c r="H138" s="127"/>
      <c r="I138" s="128"/>
      <c r="J138" s="128"/>
      <c r="K138" s="136"/>
      <c r="L138" s="137" t="s">
        <v>82</v>
      </c>
      <c r="M138" s="138" t="s">
        <v>83</v>
      </c>
      <c r="N138" s="139">
        <f>Invoerensolo!$C$3</f>
        <v>0</v>
      </c>
      <c r="O138" s="140" t="s">
        <v>81</v>
      </c>
      <c r="P138" s="141">
        <f>ROUND(Invoerensolo!$O$21*Invoerensolo!$C$3/100,4)</f>
        <v>0</v>
      </c>
      <c r="Q138" s="7">
        <f>Invoerensolo!$P$21</f>
      </c>
    </row>
    <row r="139" spans="2:17" ht="18" customHeight="1">
      <c r="B139" s="135">
        <f>Invoerensolo!$L$21</f>
        <v>0</v>
      </c>
      <c r="C139" s="135">
        <f>Invoerensolo!$J$21</f>
        <v>0</v>
      </c>
      <c r="D139" s="135">
        <f>Invoerensolo!$K$21</f>
        <v>0</v>
      </c>
      <c r="E139" s="126">
        <v>0.3</v>
      </c>
      <c r="F139" s="127"/>
      <c r="G139" s="127"/>
      <c r="H139" s="127"/>
      <c r="I139" s="128"/>
      <c r="J139" s="128"/>
      <c r="K139" s="136"/>
      <c r="L139" s="137" t="s">
        <v>84</v>
      </c>
      <c r="M139" s="142"/>
      <c r="N139" s="142"/>
      <c r="O139" s="143"/>
      <c r="P139" s="143"/>
      <c r="Q139" s="7"/>
    </row>
    <row r="140" spans="2:17" ht="18" customHeight="1">
      <c r="B140" s="135"/>
      <c r="C140" s="135"/>
      <c r="D140" s="135"/>
      <c r="E140" s="142"/>
      <c r="F140" s="142"/>
      <c r="G140" s="144"/>
      <c r="H140" s="144"/>
      <c r="I140" s="145"/>
      <c r="J140" s="145"/>
      <c r="K140" s="146">
        <f>SUM(K137:K139)</f>
        <v>0</v>
      </c>
      <c r="L140" s="142"/>
      <c r="M140" s="142"/>
      <c r="N140" s="142"/>
      <c r="O140" s="143"/>
      <c r="P140" s="143"/>
      <c r="Q140" s="7"/>
    </row>
    <row r="141" spans="2:17" ht="18" customHeight="1">
      <c r="B141" s="135"/>
      <c r="C141" s="135"/>
      <c r="D141" s="135"/>
      <c r="E141" s="142"/>
      <c r="F141" s="142"/>
      <c r="G141" s="135"/>
      <c r="H141" s="135"/>
      <c r="I141" s="147"/>
      <c r="J141" s="148" t="s">
        <v>85</v>
      </c>
      <c r="K141" s="149"/>
      <c r="L141" s="137" t="s">
        <v>86</v>
      </c>
      <c r="M141" s="142"/>
      <c r="N141" s="142"/>
      <c r="O141" s="143"/>
      <c r="P141" s="143"/>
      <c r="Q141" s="7"/>
    </row>
    <row r="142" spans="2:17" ht="18" customHeight="1">
      <c r="B142" s="135"/>
      <c r="C142" s="150" t="s">
        <v>87</v>
      </c>
      <c r="D142" s="49">
        <f>Invoerensolo!$E$21</f>
        <v>0</v>
      </c>
      <c r="E142" s="151"/>
      <c r="F142" s="142"/>
      <c r="G142" s="135"/>
      <c r="H142" s="135"/>
      <c r="I142" s="147"/>
      <c r="J142" s="106"/>
      <c r="K142" s="152"/>
      <c r="L142" s="142"/>
      <c r="M142" s="148" t="s">
        <v>88</v>
      </c>
      <c r="N142" s="142">
        <f>Invoerensolo!$C$2</f>
        <v>50</v>
      </c>
      <c r="O142" s="153" t="s">
        <v>81</v>
      </c>
      <c r="P142" s="154"/>
      <c r="Q142" s="7">
        <f>Invoerensolo!$R$21</f>
      </c>
    </row>
    <row r="143" spans="2:17" ht="18" customHeight="1">
      <c r="B143" s="135"/>
      <c r="C143" s="150" t="s">
        <v>89</v>
      </c>
      <c r="D143" s="49">
        <f>Invoerensolo!$F$21</f>
        <v>0</v>
      </c>
      <c r="E143" s="151"/>
      <c r="F143" s="142"/>
      <c r="G143" s="135"/>
      <c r="H143" s="135"/>
      <c r="I143" s="155"/>
      <c r="J143" s="106"/>
      <c r="K143" s="152"/>
      <c r="L143" s="142"/>
      <c r="M143" s="156" t="s">
        <v>17</v>
      </c>
      <c r="N143" s="142"/>
      <c r="O143" s="142"/>
      <c r="P143" s="143">
        <f>P137+P138</f>
        <v>0</v>
      </c>
      <c r="Q143" s="157"/>
    </row>
    <row r="144" spans="2:17" ht="18" customHeight="1">
      <c r="B144" s="11"/>
      <c r="C144" s="158"/>
      <c r="D144" s="151"/>
      <c r="E144" s="158"/>
      <c r="F144" s="11"/>
      <c r="G144" s="11"/>
      <c r="H144" s="11"/>
      <c r="I144" s="11"/>
      <c r="J144" s="11"/>
      <c r="K144" s="11"/>
      <c r="L144" s="11"/>
      <c r="M144" s="159"/>
      <c r="N144" s="160"/>
      <c r="O144" s="158"/>
      <c r="P144" s="158"/>
      <c r="Q144" s="11"/>
    </row>
    <row r="145" spans="2:17" ht="18" customHeight="1">
      <c r="B145" s="155">
        <f>Invoerensolo!$A$22</f>
        <v>18</v>
      </c>
      <c r="C145" s="161">
        <f>Invoerensolo!$D$22</f>
        <v>0</v>
      </c>
      <c r="D145" s="125">
        <f>Invoerensolo!$M$22</f>
        <v>0</v>
      </c>
      <c r="E145" s="126">
        <v>0.3</v>
      </c>
      <c r="F145" s="162"/>
      <c r="G145" s="162"/>
      <c r="H145" s="162"/>
      <c r="I145" s="163"/>
      <c r="J145" s="163"/>
      <c r="K145" s="136"/>
      <c r="L145" s="130" t="s">
        <v>79</v>
      </c>
      <c r="M145" s="164" t="s">
        <v>80</v>
      </c>
      <c r="N145" s="165">
        <f>Invoerensolo!$C$1</f>
        <v>50</v>
      </c>
      <c r="O145" s="166" t="s">
        <v>81</v>
      </c>
      <c r="P145" s="167">
        <f>ROUND(Invoerensolo!$BR$22*Invoerensolo!$C$1/100,4)</f>
        <v>0</v>
      </c>
      <c r="Q145" s="49">
        <f>Invoerensolo!$BT$22</f>
        <v>0</v>
      </c>
    </row>
    <row r="146" spans="2:17" ht="18" customHeight="1">
      <c r="B146" s="135">
        <f>Invoerensolo!$I$22</f>
        <v>0</v>
      </c>
      <c r="C146" s="135">
        <f>Invoerensolo!$G$22</f>
        <v>0</v>
      </c>
      <c r="D146" s="135">
        <f>Invoerensolo!$H$22</f>
        <v>0</v>
      </c>
      <c r="E146" s="126">
        <v>0.4</v>
      </c>
      <c r="F146" s="127"/>
      <c r="G146" s="127"/>
      <c r="H146" s="127"/>
      <c r="I146" s="128"/>
      <c r="J146" s="128"/>
      <c r="K146" s="136"/>
      <c r="L146" s="137" t="s">
        <v>82</v>
      </c>
      <c r="M146" s="138" t="s">
        <v>83</v>
      </c>
      <c r="N146" s="139">
        <f>Invoerensolo!$C$3</f>
        <v>0</v>
      </c>
      <c r="O146" s="140" t="s">
        <v>81</v>
      </c>
      <c r="P146" s="141">
        <f>ROUND(Invoerensolo!$O$22*Invoerensolo!$C$3/100,4)</f>
        <v>0</v>
      </c>
      <c r="Q146" s="7">
        <f>Invoerensolo!$P$22</f>
      </c>
    </row>
    <row r="147" spans="2:17" ht="18" customHeight="1">
      <c r="B147" s="135">
        <f>Invoerensolo!$L$22</f>
        <v>0</v>
      </c>
      <c r="C147" s="135">
        <f>Invoerensolo!$J$22</f>
        <v>0</v>
      </c>
      <c r="D147" s="135">
        <f>Invoerensolo!$K$22</f>
        <v>0</v>
      </c>
      <c r="E147" s="126">
        <v>0.3</v>
      </c>
      <c r="F147" s="127"/>
      <c r="G147" s="127"/>
      <c r="H147" s="127"/>
      <c r="I147" s="128"/>
      <c r="J147" s="128"/>
      <c r="K147" s="136"/>
      <c r="L147" s="137" t="s">
        <v>84</v>
      </c>
      <c r="M147" s="142"/>
      <c r="N147" s="142"/>
      <c r="O147" s="143"/>
      <c r="P147" s="143"/>
      <c r="Q147" s="7"/>
    </row>
    <row r="148" spans="2:17" ht="18" customHeight="1">
      <c r="B148" s="135"/>
      <c r="C148" s="135"/>
      <c r="D148" s="135"/>
      <c r="E148" s="142"/>
      <c r="F148" s="142"/>
      <c r="G148" s="144"/>
      <c r="H148" s="144"/>
      <c r="I148" s="145"/>
      <c r="J148" s="145"/>
      <c r="K148" s="146">
        <f>SUM(K145:K147)</f>
        <v>0</v>
      </c>
      <c r="L148" s="142"/>
      <c r="M148" s="142"/>
      <c r="N148" s="142"/>
      <c r="O148" s="143"/>
      <c r="P148" s="143"/>
      <c r="Q148" s="7"/>
    </row>
    <row r="149" spans="2:17" ht="18" customHeight="1">
      <c r="B149" s="135"/>
      <c r="C149" s="135"/>
      <c r="D149" s="135"/>
      <c r="E149" s="142"/>
      <c r="F149" s="142"/>
      <c r="G149" s="135"/>
      <c r="H149" s="135"/>
      <c r="I149" s="147"/>
      <c r="J149" s="148" t="s">
        <v>85</v>
      </c>
      <c r="K149" s="149"/>
      <c r="L149" s="137" t="s">
        <v>86</v>
      </c>
      <c r="M149" s="142"/>
      <c r="N149" s="142"/>
      <c r="O149" s="143"/>
      <c r="P149" s="143"/>
      <c r="Q149" s="7"/>
    </row>
    <row r="150" spans="2:17" ht="18" customHeight="1">
      <c r="B150" s="135"/>
      <c r="C150" s="150" t="s">
        <v>87</v>
      </c>
      <c r="D150" s="49">
        <f>Invoerensolo!$E$22</f>
        <v>0</v>
      </c>
      <c r="E150" s="151"/>
      <c r="F150" s="142"/>
      <c r="G150" s="135"/>
      <c r="H150" s="135"/>
      <c r="I150" s="147"/>
      <c r="J150" s="106"/>
      <c r="K150" s="152"/>
      <c r="L150" s="142"/>
      <c r="M150" s="148" t="s">
        <v>88</v>
      </c>
      <c r="N150" s="142">
        <f>Invoerensolo!$C$2</f>
        <v>50</v>
      </c>
      <c r="O150" s="153" t="s">
        <v>81</v>
      </c>
      <c r="P150" s="154"/>
      <c r="Q150" s="7">
        <f>Invoerensolo!$R$22</f>
      </c>
    </row>
    <row r="151" spans="2:17" ht="18" customHeight="1">
      <c r="B151" s="135"/>
      <c r="C151" s="150" t="s">
        <v>89</v>
      </c>
      <c r="D151" s="49">
        <f>Invoerensolo!$F$22</f>
        <v>0</v>
      </c>
      <c r="E151" s="151"/>
      <c r="F151" s="142"/>
      <c r="G151" s="135"/>
      <c r="H151" s="135"/>
      <c r="I151" s="155"/>
      <c r="J151" s="106"/>
      <c r="K151" s="152"/>
      <c r="L151" s="142"/>
      <c r="M151" s="156" t="s">
        <v>17</v>
      </c>
      <c r="N151" s="142"/>
      <c r="O151" s="142"/>
      <c r="P151" s="143">
        <f>P145+P146</f>
        <v>0</v>
      </c>
      <c r="Q151" s="157"/>
    </row>
    <row r="152" spans="2:17" ht="18" customHeight="1">
      <c r="B152" s="11"/>
      <c r="C152" s="158"/>
      <c r="D152" s="151"/>
      <c r="E152" s="158"/>
      <c r="F152" s="11"/>
      <c r="G152" s="11"/>
      <c r="H152" s="11"/>
      <c r="I152" s="11"/>
      <c r="J152" s="11"/>
      <c r="K152" s="11"/>
      <c r="L152" s="11"/>
      <c r="M152" s="159"/>
      <c r="N152" s="160"/>
      <c r="O152" s="158"/>
      <c r="P152" s="158"/>
      <c r="Q152" s="11"/>
    </row>
    <row r="153" spans="2:17" ht="18" customHeight="1">
      <c r="B153" s="155">
        <f>Invoerensolo!$A$23</f>
        <v>19</v>
      </c>
      <c r="C153" s="161">
        <f>Invoerensolo!$D$23</f>
        <v>0</v>
      </c>
      <c r="D153" s="125">
        <f>Invoerensolo!$M$23</f>
        <v>0</v>
      </c>
      <c r="E153" s="126">
        <v>0.3</v>
      </c>
      <c r="F153" s="162"/>
      <c r="G153" s="162"/>
      <c r="H153" s="162"/>
      <c r="I153" s="163"/>
      <c r="J153" s="163"/>
      <c r="K153" s="136"/>
      <c r="L153" s="130" t="s">
        <v>79</v>
      </c>
      <c r="M153" s="164" t="s">
        <v>80</v>
      </c>
      <c r="N153" s="165">
        <f>Invoerensolo!$C$1</f>
        <v>50</v>
      </c>
      <c r="O153" s="166" t="s">
        <v>81</v>
      </c>
      <c r="P153" s="167">
        <f>ROUND(Invoerensolo!$BR$23*Invoerensolo!$C$1/100,4)</f>
        <v>0</v>
      </c>
      <c r="Q153" s="49">
        <f>Invoerensolo!$BT$23</f>
        <v>0</v>
      </c>
    </row>
    <row r="154" spans="2:17" ht="18" customHeight="1">
      <c r="B154" s="135">
        <f>Invoerensolo!$I$23</f>
        <v>0</v>
      </c>
      <c r="C154" s="135">
        <f>Invoerensolo!$G$23</f>
        <v>0</v>
      </c>
      <c r="D154" s="135">
        <f>Invoerensolo!$H$23</f>
        <v>0</v>
      </c>
      <c r="E154" s="126">
        <v>0.4</v>
      </c>
      <c r="F154" s="127"/>
      <c r="G154" s="127"/>
      <c r="H154" s="127"/>
      <c r="I154" s="128"/>
      <c r="J154" s="128"/>
      <c r="K154" s="136"/>
      <c r="L154" s="137" t="s">
        <v>82</v>
      </c>
      <c r="M154" s="138" t="s">
        <v>83</v>
      </c>
      <c r="N154" s="139">
        <f>Invoerensolo!$C$3</f>
        <v>0</v>
      </c>
      <c r="O154" s="140" t="s">
        <v>81</v>
      </c>
      <c r="P154" s="141">
        <f>ROUND(Invoerensolo!$O$23*Invoerensolo!$C$3/100,4)</f>
        <v>0</v>
      </c>
      <c r="Q154" s="7">
        <f>Invoerensolo!$P$23</f>
      </c>
    </row>
    <row r="155" spans="2:17" ht="18" customHeight="1">
      <c r="B155" s="135">
        <f>Invoerensolo!$L$23</f>
        <v>0</v>
      </c>
      <c r="C155" s="135">
        <f>Invoerensolo!$J$23</f>
        <v>0</v>
      </c>
      <c r="D155" s="135">
        <f>Invoerensolo!$K$23</f>
        <v>0</v>
      </c>
      <c r="E155" s="126">
        <v>0.3</v>
      </c>
      <c r="F155" s="127"/>
      <c r="G155" s="127"/>
      <c r="H155" s="127"/>
      <c r="I155" s="128"/>
      <c r="J155" s="128"/>
      <c r="K155" s="136"/>
      <c r="L155" s="137" t="s">
        <v>84</v>
      </c>
      <c r="M155" s="142"/>
      <c r="N155" s="142"/>
      <c r="O155" s="143"/>
      <c r="P155" s="143"/>
      <c r="Q155" s="7"/>
    </row>
    <row r="156" spans="2:17" ht="18" customHeight="1">
      <c r="B156" s="135"/>
      <c r="C156" s="135"/>
      <c r="D156" s="135"/>
      <c r="E156" s="142"/>
      <c r="F156" s="142"/>
      <c r="G156" s="144"/>
      <c r="H156" s="144"/>
      <c r="I156" s="145"/>
      <c r="J156" s="145"/>
      <c r="K156" s="146">
        <f>SUM(K153:K155)</f>
        <v>0</v>
      </c>
      <c r="L156" s="142"/>
      <c r="M156" s="142"/>
      <c r="N156" s="142"/>
      <c r="O156" s="143"/>
      <c r="P156" s="143"/>
      <c r="Q156" s="7"/>
    </row>
    <row r="157" spans="2:17" ht="18" customHeight="1">
      <c r="B157" s="135"/>
      <c r="C157" s="135"/>
      <c r="D157" s="135"/>
      <c r="E157" s="142"/>
      <c r="F157" s="142"/>
      <c r="G157" s="135"/>
      <c r="H157" s="135"/>
      <c r="I157" s="147"/>
      <c r="J157" s="148" t="s">
        <v>85</v>
      </c>
      <c r="K157" s="149"/>
      <c r="L157" s="137" t="s">
        <v>86</v>
      </c>
      <c r="M157" s="142"/>
      <c r="N157" s="142"/>
      <c r="O157" s="143"/>
      <c r="P157" s="143"/>
      <c r="Q157" s="7"/>
    </row>
    <row r="158" spans="2:17" ht="18" customHeight="1">
      <c r="B158" s="135"/>
      <c r="C158" s="150" t="s">
        <v>87</v>
      </c>
      <c r="D158" s="49">
        <f>Invoerensolo!$E$23</f>
        <v>0</v>
      </c>
      <c r="E158" s="151"/>
      <c r="F158" s="142"/>
      <c r="G158" s="135"/>
      <c r="H158" s="135"/>
      <c r="I158" s="147"/>
      <c r="J158" s="106"/>
      <c r="K158" s="152"/>
      <c r="L158" s="142"/>
      <c r="M158" s="148" t="s">
        <v>88</v>
      </c>
      <c r="N158" s="142">
        <f>Invoerensolo!$C$2</f>
        <v>50</v>
      </c>
      <c r="O158" s="153" t="s">
        <v>81</v>
      </c>
      <c r="P158" s="154"/>
      <c r="Q158" s="7">
        <f>Invoerensolo!$R$23</f>
      </c>
    </row>
    <row r="159" spans="2:17" ht="18" customHeight="1">
      <c r="B159" s="135"/>
      <c r="C159" s="150" t="s">
        <v>89</v>
      </c>
      <c r="D159" s="49">
        <f>Invoerensolo!$F$23</f>
        <v>0</v>
      </c>
      <c r="E159" s="151"/>
      <c r="F159" s="142"/>
      <c r="G159" s="135"/>
      <c r="H159" s="135"/>
      <c r="I159" s="155"/>
      <c r="J159" s="106"/>
      <c r="K159" s="152"/>
      <c r="L159" s="142"/>
      <c r="M159" s="156" t="s">
        <v>17</v>
      </c>
      <c r="N159" s="142"/>
      <c r="O159" s="142"/>
      <c r="P159" s="143">
        <f>P153+P154</f>
        <v>0</v>
      </c>
      <c r="Q159" s="157"/>
    </row>
    <row r="160" spans="2:17" ht="18" customHeight="1">
      <c r="B160" s="11"/>
      <c r="C160" s="158"/>
      <c r="D160" s="151"/>
      <c r="E160" s="158"/>
      <c r="F160" s="11"/>
      <c r="G160" s="11"/>
      <c r="H160" s="11"/>
      <c r="I160" s="11"/>
      <c r="J160" s="11"/>
      <c r="K160" s="11"/>
      <c r="L160" s="11"/>
      <c r="M160" s="159"/>
      <c r="N160" s="160"/>
      <c r="O160" s="158"/>
      <c r="P160" s="158"/>
      <c r="Q160" s="11"/>
    </row>
    <row r="161" spans="2:17" ht="18" customHeight="1">
      <c r="B161" s="155">
        <f>Invoerensolo!$A$24</f>
        <v>20</v>
      </c>
      <c r="C161" s="161">
        <f>Invoerensolo!$D$24</f>
        <v>0</v>
      </c>
      <c r="D161" s="125">
        <f>Invoerensolo!$M$24</f>
        <v>0</v>
      </c>
      <c r="E161" s="126">
        <v>0.3</v>
      </c>
      <c r="F161" s="162"/>
      <c r="G161" s="162"/>
      <c r="H161" s="162"/>
      <c r="I161" s="163"/>
      <c r="J161" s="163"/>
      <c r="K161" s="136"/>
      <c r="L161" s="130" t="s">
        <v>79</v>
      </c>
      <c r="M161" s="164" t="s">
        <v>80</v>
      </c>
      <c r="N161" s="165">
        <f>Invoerensolo!$C$1</f>
        <v>50</v>
      </c>
      <c r="O161" s="166" t="s">
        <v>81</v>
      </c>
      <c r="P161" s="167">
        <f>ROUND(Invoerensolo!$BR$24*Invoerensolo!$C$1/100,4)</f>
        <v>0</v>
      </c>
      <c r="Q161" s="49">
        <f>Invoerensolo!$BT$24</f>
        <v>0</v>
      </c>
    </row>
    <row r="162" spans="2:17" ht="18" customHeight="1">
      <c r="B162" s="135">
        <f>Invoerensolo!$I$24</f>
        <v>0</v>
      </c>
      <c r="C162" s="135">
        <f>Invoerensolo!$G$24</f>
        <v>0</v>
      </c>
      <c r="D162" s="135">
        <f>Invoerensolo!$H$24</f>
        <v>0</v>
      </c>
      <c r="E162" s="126">
        <v>0.4</v>
      </c>
      <c r="F162" s="127"/>
      <c r="G162" s="127"/>
      <c r="H162" s="127"/>
      <c r="I162" s="128"/>
      <c r="J162" s="128"/>
      <c r="K162" s="136"/>
      <c r="L162" s="137" t="s">
        <v>82</v>
      </c>
      <c r="M162" s="138" t="s">
        <v>83</v>
      </c>
      <c r="N162" s="139">
        <f>Invoerensolo!$C$3</f>
        <v>0</v>
      </c>
      <c r="O162" s="140" t="s">
        <v>81</v>
      </c>
      <c r="P162" s="141">
        <f>ROUND(Invoerensolo!$O$24*Invoerensolo!$C$3/100,4)</f>
        <v>0</v>
      </c>
      <c r="Q162" s="7">
        <f>Invoerensolo!$P$24</f>
      </c>
    </row>
    <row r="163" spans="2:17" ht="18" customHeight="1">
      <c r="B163" s="135">
        <f>Invoerensolo!$L$24</f>
        <v>0</v>
      </c>
      <c r="C163" s="135">
        <f>Invoerensolo!$J$24</f>
        <v>0</v>
      </c>
      <c r="D163" s="135">
        <f>Invoerensolo!$K$24</f>
        <v>0</v>
      </c>
      <c r="E163" s="126">
        <v>0.3</v>
      </c>
      <c r="F163" s="127"/>
      <c r="G163" s="127"/>
      <c r="H163" s="127"/>
      <c r="I163" s="128"/>
      <c r="J163" s="128"/>
      <c r="K163" s="136"/>
      <c r="L163" s="137" t="s">
        <v>84</v>
      </c>
      <c r="M163" s="142"/>
      <c r="N163" s="142"/>
      <c r="O163" s="143"/>
      <c r="P163" s="143"/>
      <c r="Q163" s="7"/>
    </row>
    <row r="164" spans="2:17" ht="18" customHeight="1">
      <c r="B164" s="135"/>
      <c r="C164" s="135"/>
      <c r="D164" s="135"/>
      <c r="E164" s="142"/>
      <c r="F164" s="142"/>
      <c r="G164" s="144"/>
      <c r="H164" s="144"/>
      <c r="I164" s="145"/>
      <c r="J164" s="145"/>
      <c r="K164" s="146">
        <f>SUM(K161:K163)</f>
        <v>0</v>
      </c>
      <c r="L164" s="142"/>
      <c r="M164" s="142"/>
      <c r="N164" s="142"/>
      <c r="O164" s="143"/>
      <c r="P164" s="143"/>
      <c r="Q164" s="7"/>
    </row>
    <row r="165" spans="2:17" ht="18" customHeight="1">
      <c r="B165" s="135"/>
      <c r="C165" s="135"/>
      <c r="D165" s="135"/>
      <c r="E165" s="142"/>
      <c r="F165" s="142"/>
      <c r="G165" s="135"/>
      <c r="H165" s="135"/>
      <c r="I165" s="147"/>
      <c r="J165" s="148" t="s">
        <v>85</v>
      </c>
      <c r="K165" s="149"/>
      <c r="L165" s="137" t="s">
        <v>86</v>
      </c>
      <c r="M165" s="142"/>
      <c r="N165" s="142"/>
      <c r="O165" s="143"/>
      <c r="P165" s="143"/>
      <c r="Q165" s="7"/>
    </row>
    <row r="166" spans="2:17" ht="18" customHeight="1">
      <c r="B166" s="135"/>
      <c r="C166" s="150" t="s">
        <v>87</v>
      </c>
      <c r="D166" s="49">
        <f>Invoerensolo!$E$24</f>
        <v>0</v>
      </c>
      <c r="E166" s="151"/>
      <c r="F166" s="142"/>
      <c r="G166" s="135"/>
      <c r="H166" s="135"/>
      <c r="I166" s="147"/>
      <c r="J166" s="106"/>
      <c r="K166" s="152"/>
      <c r="L166" s="142"/>
      <c r="M166" s="148" t="s">
        <v>88</v>
      </c>
      <c r="N166" s="142">
        <f>Invoerensolo!$C$2</f>
        <v>50</v>
      </c>
      <c r="O166" s="153" t="s">
        <v>81</v>
      </c>
      <c r="P166" s="154"/>
      <c r="Q166" s="7">
        <f>Invoerensolo!$R$24</f>
      </c>
    </row>
    <row r="167" spans="2:17" ht="18" customHeight="1">
      <c r="B167" s="135"/>
      <c r="C167" s="150" t="s">
        <v>89</v>
      </c>
      <c r="D167" s="49">
        <f>Invoerensolo!$F$24</f>
        <v>0</v>
      </c>
      <c r="E167" s="151"/>
      <c r="F167" s="142"/>
      <c r="G167" s="135"/>
      <c r="H167" s="135"/>
      <c r="I167" s="155"/>
      <c r="J167" s="106"/>
      <c r="K167" s="152"/>
      <c r="L167" s="142"/>
      <c r="M167" s="156" t="s">
        <v>17</v>
      </c>
      <c r="N167" s="142"/>
      <c r="O167" s="142"/>
      <c r="P167" s="143">
        <f>P161+P162</f>
        <v>0</v>
      </c>
      <c r="Q167" s="157"/>
    </row>
    <row r="168" spans="2:17" ht="18" customHeight="1">
      <c r="B168" s="11"/>
      <c r="C168" s="158"/>
      <c r="D168" s="151"/>
      <c r="E168" s="158"/>
      <c r="F168" s="11"/>
      <c r="G168" s="11"/>
      <c r="H168" s="11"/>
      <c r="I168" s="11"/>
      <c r="J168" s="11"/>
      <c r="K168" s="11"/>
      <c r="L168" s="11"/>
      <c r="M168" s="159"/>
      <c r="N168" s="160"/>
      <c r="O168" s="158"/>
      <c r="P168" s="158"/>
      <c r="Q168" s="11"/>
    </row>
    <row r="169" spans="2:17" ht="18" customHeight="1">
      <c r="B169" s="155">
        <f>Invoerensolo!$A$25</f>
        <v>21</v>
      </c>
      <c r="C169" s="161">
        <f>Invoerensolo!$D$25</f>
        <v>0</v>
      </c>
      <c r="D169" s="125">
        <f>Invoerensolo!$M$25</f>
        <v>0</v>
      </c>
      <c r="E169" s="126">
        <v>0.3</v>
      </c>
      <c r="F169" s="162"/>
      <c r="G169" s="162"/>
      <c r="H169" s="162"/>
      <c r="I169" s="163"/>
      <c r="J169" s="163"/>
      <c r="K169" s="136"/>
      <c r="L169" s="130" t="s">
        <v>79</v>
      </c>
      <c r="M169" s="164" t="s">
        <v>80</v>
      </c>
      <c r="N169" s="165">
        <f>Invoerensolo!$C$1</f>
        <v>50</v>
      </c>
      <c r="O169" s="166" t="s">
        <v>81</v>
      </c>
      <c r="P169" s="167">
        <f>ROUND(Invoerensolo!$BR$25*Invoerensolo!$C$1/100,4)</f>
        <v>0</v>
      </c>
      <c r="Q169" s="49">
        <f>Invoerensolo!$BT$25</f>
        <v>0</v>
      </c>
    </row>
    <row r="170" spans="2:17" ht="18" customHeight="1">
      <c r="B170" s="135">
        <f>Invoerensolo!$I$25</f>
        <v>0</v>
      </c>
      <c r="C170" s="135">
        <f>Invoerensolo!$G$25</f>
        <v>0</v>
      </c>
      <c r="D170" s="135">
        <f>Invoerensolo!$H$25</f>
        <v>0</v>
      </c>
      <c r="E170" s="126">
        <v>0.4</v>
      </c>
      <c r="F170" s="127"/>
      <c r="G170" s="127"/>
      <c r="H170" s="127"/>
      <c r="I170" s="128"/>
      <c r="J170" s="128"/>
      <c r="K170" s="136"/>
      <c r="L170" s="137" t="s">
        <v>82</v>
      </c>
      <c r="M170" s="138" t="s">
        <v>83</v>
      </c>
      <c r="N170" s="139">
        <f>Invoerensolo!$C$3</f>
        <v>0</v>
      </c>
      <c r="O170" s="140" t="s">
        <v>81</v>
      </c>
      <c r="P170" s="141">
        <f>ROUND(Invoerensolo!$O$25*Invoerensolo!$C$3/100,4)</f>
        <v>0</v>
      </c>
      <c r="Q170" s="7">
        <f>Invoerensolo!$P$25</f>
      </c>
    </row>
    <row r="171" spans="2:17" ht="18" customHeight="1">
      <c r="B171" s="135">
        <f>Invoerensolo!$L$25</f>
        <v>0</v>
      </c>
      <c r="C171" s="135">
        <f>Invoerensolo!$J$25</f>
        <v>0</v>
      </c>
      <c r="D171" s="135">
        <f>Invoerensolo!$K$25</f>
        <v>0</v>
      </c>
      <c r="E171" s="126">
        <v>0.3</v>
      </c>
      <c r="F171" s="127"/>
      <c r="G171" s="127"/>
      <c r="H171" s="127"/>
      <c r="I171" s="128"/>
      <c r="J171" s="128"/>
      <c r="K171" s="136"/>
      <c r="L171" s="137" t="s">
        <v>84</v>
      </c>
      <c r="M171" s="142"/>
      <c r="N171" s="142"/>
      <c r="O171" s="143"/>
      <c r="P171" s="143"/>
      <c r="Q171" s="7"/>
    </row>
    <row r="172" spans="2:17" ht="18" customHeight="1">
      <c r="B172" s="135"/>
      <c r="C172" s="135"/>
      <c r="D172" s="135"/>
      <c r="E172" s="142"/>
      <c r="F172" s="142"/>
      <c r="G172" s="144"/>
      <c r="H172" s="144"/>
      <c r="I172" s="145"/>
      <c r="J172" s="145"/>
      <c r="K172" s="146">
        <f>SUM(K169:K171)</f>
        <v>0</v>
      </c>
      <c r="L172" s="142"/>
      <c r="M172" s="142"/>
      <c r="N172" s="142"/>
      <c r="O172" s="143"/>
      <c r="P172" s="143"/>
      <c r="Q172" s="7"/>
    </row>
    <row r="173" spans="2:17" ht="18" customHeight="1">
      <c r="B173" s="135"/>
      <c r="C173" s="135"/>
      <c r="D173" s="135"/>
      <c r="E173" s="142"/>
      <c r="F173" s="142"/>
      <c r="G173" s="135"/>
      <c r="H173" s="135"/>
      <c r="I173" s="147"/>
      <c r="J173" s="148" t="s">
        <v>85</v>
      </c>
      <c r="K173" s="149"/>
      <c r="L173" s="137" t="s">
        <v>86</v>
      </c>
      <c r="M173" s="142"/>
      <c r="N173" s="142"/>
      <c r="O173" s="143"/>
      <c r="P173" s="143"/>
      <c r="Q173" s="7"/>
    </row>
    <row r="174" spans="2:17" ht="18" customHeight="1">
      <c r="B174" s="135"/>
      <c r="C174" s="150" t="s">
        <v>87</v>
      </c>
      <c r="D174" s="49">
        <f>Invoerensolo!$E$25</f>
        <v>0</v>
      </c>
      <c r="E174" s="151"/>
      <c r="F174" s="142"/>
      <c r="G174" s="135"/>
      <c r="H174" s="135"/>
      <c r="I174" s="147"/>
      <c r="J174" s="106"/>
      <c r="K174" s="152"/>
      <c r="L174" s="142"/>
      <c r="M174" s="148" t="s">
        <v>88</v>
      </c>
      <c r="N174" s="142">
        <f>Invoerensolo!$C$2</f>
        <v>50</v>
      </c>
      <c r="O174" s="153" t="s">
        <v>81</v>
      </c>
      <c r="P174" s="154"/>
      <c r="Q174" s="7">
        <f>Invoerensolo!$R$25</f>
      </c>
    </row>
    <row r="175" spans="2:17" ht="18" customHeight="1">
      <c r="B175" s="135"/>
      <c r="C175" s="150" t="s">
        <v>89</v>
      </c>
      <c r="D175" s="49">
        <f>Invoerensolo!$F$25</f>
        <v>0</v>
      </c>
      <c r="E175" s="151"/>
      <c r="F175" s="142"/>
      <c r="G175" s="135"/>
      <c r="H175" s="135"/>
      <c r="I175" s="155"/>
      <c r="J175" s="106"/>
      <c r="K175" s="152"/>
      <c r="L175" s="142"/>
      <c r="M175" s="156" t="s">
        <v>17</v>
      </c>
      <c r="N175" s="142"/>
      <c r="O175" s="142"/>
      <c r="P175" s="143">
        <f>P169+P170</f>
        <v>0</v>
      </c>
      <c r="Q175" s="157"/>
    </row>
    <row r="176" spans="2:17" ht="18" customHeight="1">
      <c r="B176" s="11"/>
      <c r="C176" s="158"/>
      <c r="D176" s="151"/>
      <c r="E176" s="158"/>
      <c r="F176" s="11"/>
      <c r="G176" s="11"/>
      <c r="H176" s="11"/>
      <c r="I176" s="11"/>
      <c r="J176" s="11"/>
      <c r="K176" s="11"/>
      <c r="L176" s="11"/>
      <c r="M176" s="159"/>
      <c r="N176" s="160"/>
      <c r="O176" s="158"/>
      <c r="P176" s="158"/>
      <c r="Q176" s="11"/>
    </row>
    <row r="177" spans="2:17" ht="18" customHeight="1">
      <c r="B177" s="155">
        <f>Invoerensolo!$A$26</f>
        <v>22</v>
      </c>
      <c r="C177" s="161">
        <f>Invoerensolo!$D$26</f>
        <v>0</v>
      </c>
      <c r="D177" s="125">
        <f>Invoerensolo!$M$26</f>
        <v>0</v>
      </c>
      <c r="E177" s="126">
        <v>0.3</v>
      </c>
      <c r="F177" s="162"/>
      <c r="G177" s="162"/>
      <c r="H177" s="162"/>
      <c r="I177" s="163"/>
      <c r="J177" s="163"/>
      <c r="K177" s="136"/>
      <c r="L177" s="130" t="s">
        <v>79</v>
      </c>
      <c r="M177" s="164" t="s">
        <v>80</v>
      </c>
      <c r="N177" s="165">
        <f>Invoerensolo!$C$1</f>
        <v>50</v>
      </c>
      <c r="O177" s="166" t="s">
        <v>81</v>
      </c>
      <c r="P177" s="167">
        <f>ROUND(Invoerensolo!$BR$26*Invoerensolo!$C$1/100,4)</f>
        <v>0</v>
      </c>
      <c r="Q177" s="49">
        <f>Invoerensolo!$BT$26</f>
        <v>0</v>
      </c>
    </row>
    <row r="178" spans="2:17" ht="18" customHeight="1">
      <c r="B178" s="135">
        <f>Invoerensolo!$I$26</f>
        <v>0</v>
      </c>
      <c r="C178" s="135">
        <f>Invoerensolo!$G$26</f>
        <v>0</v>
      </c>
      <c r="D178" s="135">
        <f>Invoerensolo!$H$26</f>
        <v>0</v>
      </c>
      <c r="E178" s="126">
        <v>0.4</v>
      </c>
      <c r="F178" s="127"/>
      <c r="G178" s="127"/>
      <c r="H178" s="127"/>
      <c r="I178" s="128"/>
      <c r="J178" s="128"/>
      <c r="K178" s="136"/>
      <c r="L178" s="137" t="s">
        <v>82</v>
      </c>
      <c r="M178" s="138" t="s">
        <v>83</v>
      </c>
      <c r="N178" s="139">
        <f>Invoerensolo!$C$3</f>
        <v>0</v>
      </c>
      <c r="O178" s="140" t="s">
        <v>81</v>
      </c>
      <c r="P178" s="141">
        <f>ROUND(Invoerensolo!$O$26*Invoerensolo!$C$3/100,4)</f>
        <v>0</v>
      </c>
      <c r="Q178" s="7">
        <f>Invoerensolo!$P$26</f>
      </c>
    </row>
    <row r="179" spans="2:17" ht="18" customHeight="1">
      <c r="B179" s="135">
        <f>Invoerensolo!$L$26</f>
        <v>0</v>
      </c>
      <c r="C179" s="135">
        <f>Invoerensolo!$J$26</f>
        <v>0</v>
      </c>
      <c r="D179" s="135">
        <f>Invoerensolo!$K$26</f>
        <v>0</v>
      </c>
      <c r="E179" s="126">
        <v>0.3</v>
      </c>
      <c r="F179" s="127"/>
      <c r="G179" s="127"/>
      <c r="H179" s="127"/>
      <c r="I179" s="128"/>
      <c r="J179" s="128"/>
      <c r="K179" s="136"/>
      <c r="L179" s="137" t="s">
        <v>84</v>
      </c>
      <c r="M179" s="142"/>
      <c r="N179" s="142"/>
      <c r="O179" s="143"/>
      <c r="P179" s="143"/>
      <c r="Q179" s="7"/>
    </row>
    <row r="180" spans="2:17" ht="18" customHeight="1">
      <c r="B180" s="135"/>
      <c r="C180" s="135"/>
      <c r="D180" s="135"/>
      <c r="E180" s="142"/>
      <c r="F180" s="142"/>
      <c r="G180" s="144"/>
      <c r="H180" s="144"/>
      <c r="I180" s="145"/>
      <c r="J180" s="145"/>
      <c r="K180" s="146">
        <f>SUM(K177:K179)</f>
        <v>0</v>
      </c>
      <c r="L180" s="142"/>
      <c r="M180" s="142"/>
      <c r="N180" s="142"/>
      <c r="O180" s="143"/>
      <c r="P180" s="143"/>
      <c r="Q180" s="7"/>
    </row>
    <row r="181" spans="2:17" ht="18" customHeight="1">
      <c r="B181" s="135"/>
      <c r="C181" s="135"/>
      <c r="D181" s="135"/>
      <c r="E181" s="142"/>
      <c r="F181" s="142"/>
      <c r="G181" s="135"/>
      <c r="H181" s="135"/>
      <c r="I181" s="147"/>
      <c r="J181" s="148" t="s">
        <v>85</v>
      </c>
      <c r="K181" s="149"/>
      <c r="L181" s="137" t="s">
        <v>86</v>
      </c>
      <c r="M181" s="142"/>
      <c r="N181" s="142"/>
      <c r="O181" s="143"/>
      <c r="P181" s="143"/>
      <c r="Q181" s="7"/>
    </row>
    <row r="182" spans="2:17" ht="18" customHeight="1">
      <c r="B182" s="135"/>
      <c r="C182" s="150" t="s">
        <v>87</v>
      </c>
      <c r="D182" s="49">
        <f>Invoerensolo!$E$26</f>
        <v>0</v>
      </c>
      <c r="E182" s="151"/>
      <c r="F182" s="142"/>
      <c r="G182" s="135"/>
      <c r="H182" s="135"/>
      <c r="I182" s="147"/>
      <c r="J182" s="106"/>
      <c r="K182" s="152"/>
      <c r="L182" s="142"/>
      <c r="M182" s="148" t="s">
        <v>88</v>
      </c>
      <c r="N182" s="142">
        <f>Invoerensolo!$C$2</f>
        <v>50</v>
      </c>
      <c r="O182" s="153" t="s">
        <v>81</v>
      </c>
      <c r="P182" s="154"/>
      <c r="Q182" s="7">
        <f>Invoerensolo!$R$26</f>
      </c>
    </row>
    <row r="183" spans="2:17" ht="18" customHeight="1">
      <c r="B183" s="135"/>
      <c r="C183" s="150" t="s">
        <v>89</v>
      </c>
      <c r="D183" s="49">
        <f>Invoerensolo!$F$26</f>
        <v>0</v>
      </c>
      <c r="E183" s="151"/>
      <c r="F183" s="142"/>
      <c r="G183" s="135"/>
      <c r="H183" s="135"/>
      <c r="I183" s="155"/>
      <c r="J183" s="106"/>
      <c r="K183" s="152"/>
      <c r="L183" s="142"/>
      <c r="M183" s="156" t="s">
        <v>17</v>
      </c>
      <c r="N183" s="142"/>
      <c r="O183" s="142"/>
      <c r="P183" s="143">
        <f>P177+P178</f>
        <v>0</v>
      </c>
      <c r="Q183" s="157"/>
    </row>
    <row r="184" spans="2:17" ht="18" customHeight="1">
      <c r="B184" s="11"/>
      <c r="C184" s="158"/>
      <c r="D184" s="151"/>
      <c r="E184" s="158"/>
      <c r="F184" s="11"/>
      <c r="G184" s="11"/>
      <c r="H184" s="11"/>
      <c r="I184" s="11"/>
      <c r="J184" s="11"/>
      <c r="K184" s="11"/>
      <c r="L184" s="11"/>
      <c r="M184" s="159"/>
      <c r="N184" s="160"/>
      <c r="O184" s="158"/>
      <c r="P184" s="158"/>
      <c r="Q184" s="11"/>
    </row>
    <row r="185" spans="2:17" ht="18" customHeight="1">
      <c r="B185" s="155">
        <f>Invoerensolo!$A$27</f>
        <v>23</v>
      </c>
      <c r="C185" s="161">
        <f>Invoerensolo!$D$27</f>
        <v>0</v>
      </c>
      <c r="D185" s="125">
        <f>Invoerensolo!$M$27</f>
        <v>0</v>
      </c>
      <c r="E185" s="126">
        <v>0.3</v>
      </c>
      <c r="F185" s="162"/>
      <c r="G185" s="162"/>
      <c r="H185" s="162"/>
      <c r="I185" s="163"/>
      <c r="J185" s="163"/>
      <c r="K185" s="136"/>
      <c r="L185" s="130" t="s">
        <v>79</v>
      </c>
      <c r="M185" s="164" t="s">
        <v>80</v>
      </c>
      <c r="N185" s="165">
        <f>Invoerensolo!$C$1</f>
        <v>50</v>
      </c>
      <c r="O185" s="166" t="s">
        <v>81</v>
      </c>
      <c r="P185" s="167">
        <f>ROUND(Invoerensolo!$BR$27*Invoerensolo!$C$1/100,4)</f>
        <v>0</v>
      </c>
      <c r="Q185" s="49">
        <f>Invoerensolo!$BT$27</f>
        <v>0</v>
      </c>
    </row>
    <row r="186" spans="2:17" ht="18" customHeight="1">
      <c r="B186" s="135">
        <f>Invoerensolo!$I$27</f>
        <v>0</v>
      </c>
      <c r="C186" s="135">
        <f>Invoerensolo!$G$27</f>
        <v>0</v>
      </c>
      <c r="D186" s="135">
        <f>Invoerensolo!$H$27</f>
        <v>0</v>
      </c>
      <c r="E186" s="126">
        <v>0.4</v>
      </c>
      <c r="F186" s="127"/>
      <c r="G186" s="127"/>
      <c r="H186" s="127"/>
      <c r="I186" s="128"/>
      <c r="J186" s="128"/>
      <c r="K186" s="136"/>
      <c r="L186" s="137" t="s">
        <v>82</v>
      </c>
      <c r="M186" s="138" t="s">
        <v>83</v>
      </c>
      <c r="N186" s="139">
        <f>Invoerensolo!$C$3</f>
        <v>0</v>
      </c>
      <c r="O186" s="140" t="s">
        <v>81</v>
      </c>
      <c r="P186" s="141">
        <f>ROUND(Invoerensolo!$O$27*Invoerensolo!$C$3/100,4)</f>
        <v>0</v>
      </c>
      <c r="Q186" s="7">
        <f>Invoerensolo!$P$27</f>
      </c>
    </row>
    <row r="187" spans="2:17" ht="18" customHeight="1">
      <c r="B187" s="135">
        <f>Invoerensolo!$L$27</f>
        <v>0</v>
      </c>
      <c r="C187" s="135">
        <f>Invoerensolo!$J$27</f>
        <v>0</v>
      </c>
      <c r="D187" s="135">
        <f>Invoerensolo!$K$27</f>
        <v>0</v>
      </c>
      <c r="E187" s="126">
        <v>0.3</v>
      </c>
      <c r="F187" s="127"/>
      <c r="G187" s="127"/>
      <c r="H187" s="127"/>
      <c r="I187" s="128"/>
      <c r="J187" s="128"/>
      <c r="K187" s="136"/>
      <c r="L187" s="137" t="s">
        <v>84</v>
      </c>
      <c r="M187" s="142"/>
      <c r="N187" s="142"/>
      <c r="O187" s="143"/>
      <c r="P187" s="143"/>
      <c r="Q187" s="7"/>
    </row>
    <row r="188" spans="2:17" ht="18" customHeight="1">
      <c r="B188" s="135"/>
      <c r="C188" s="135"/>
      <c r="D188" s="135"/>
      <c r="E188" s="142"/>
      <c r="F188" s="142"/>
      <c r="G188" s="144"/>
      <c r="H188" s="144"/>
      <c r="I188" s="145"/>
      <c r="J188" s="145"/>
      <c r="K188" s="146">
        <f>SUM(K185:K187)</f>
        <v>0</v>
      </c>
      <c r="L188" s="142"/>
      <c r="M188" s="142"/>
      <c r="N188" s="142"/>
      <c r="O188" s="143"/>
      <c r="P188" s="143"/>
      <c r="Q188" s="7"/>
    </row>
    <row r="189" spans="2:17" ht="18" customHeight="1">
      <c r="B189" s="135"/>
      <c r="C189" s="135"/>
      <c r="D189" s="135"/>
      <c r="E189" s="142"/>
      <c r="F189" s="142"/>
      <c r="G189" s="135"/>
      <c r="H189" s="135"/>
      <c r="I189" s="147"/>
      <c r="J189" s="148" t="s">
        <v>85</v>
      </c>
      <c r="K189" s="149"/>
      <c r="L189" s="137" t="s">
        <v>86</v>
      </c>
      <c r="M189" s="142"/>
      <c r="N189" s="142"/>
      <c r="O189" s="143"/>
      <c r="P189" s="143"/>
      <c r="Q189" s="7"/>
    </row>
    <row r="190" spans="2:17" ht="18" customHeight="1">
      <c r="B190" s="135"/>
      <c r="C190" s="150" t="s">
        <v>87</v>
      </c>
      <c r="D190" s="49">
        <f>Invoerensolo!$E$27</f>
        <v>0</v>
      </c>
      <c r="E190" s="151"/>
      <c r="F190" s="142"/>
      <c r="G190" s="135"/>
      <c r="H190" s="135"/>
      <c r="I190" s="147"/>
      <c r="J190" s="106"/>
      <c r="K190" s="152"/>
      <c r="L190" s="142"/>
      <c r="M190" s="148" t="s">
        <v>88</v>
      </c>
      <c r="N190" s="142">
        <f>Invoerensolo!$C$2</f>
        <v>50</v>
      </c>
      <c r="O190" s="153" t="s">
        <v>81</v>
      </c>
      <c r="P190" s="154"/>
      <c r="Q190" s="7">
        <f>Invoerensolo!$R$27</f>
      </c>
    </row>
    <row r="191" spans="2:17" ht="18" customHeight="1">
      <c r="B191" s="135"/>
      <c r="C191" s="150" t="s">
        <v>89</v>
      </c>
      <c r="D191" s="49">
        <f>Invoerensolo!$F$27</f>
        <v>0</v>
      </c>
      <c r="E191" s="151"/>
      <c r="F191" s="142"/>
      <c r="G191" s="135"/>
      <c r="H191" s="135"/>
      <c r="I191" s="155"/>
      <c r="J191" s="106"/>
      <c r="K191" s="152"/>
      <c r="L191" s="142"/>
      <c r="M191" s="156" t="s">
        <v>17</v>
      </c>
      <c r="N191" s="142"/>
      <c r="O191" s="142"/>
      <c r="P191" s="143">
        <f>P185+P186</f>
        <v>0</v>
      </c>
      <c r="Q191" s="157"/>
    </row>
    <row r="192" spans="2:17" ht="18" customHeight="1">
      <c r="B192" s="11"/>
      <c r="C192" s="158"/>
      <c r="D192" s="151"/>
      <c r="E192" s="158"/>
      <c r="F192" s="11"/>
      <c r="G192" s="11"/>
      <c r="H192" s="11"/>
      <c r="I192" s="11"/>
      <c r="J192" s="11"/>
      <c r="K192" s="11"/>
      <c r="L192" s="11"/>
      <c r="M192" s="159"/>
      <c r="N192" s="160"/>
      <c r="O192" s="158"/>
      <c r="P192" s="158"/>
      <c r="Q192" s="11"/>
    </row>
    <row r="193" spans="2:17" ht="18" customHeight="1">
      <c r="B193" s="155">
        <f>Invoerensolo!$A$28</f>
        <v>24</v>
      </c>
      <c r="C193" s="161">
        <f>Invoerensolo!$D$28</f>
        <v>0</v>
      </c>
      <c r="D193" s="125">
        <f>Invoerensolo!$M$28</f>
        <v>0</v>
      </c>
      <c r="E193" s="126">
        <v>0.3</v>
      </c>
      <c r="F193" s="162"/>
      <c r="G193" s="162"/>
      <c r="H193" s="162"/>
      <c r="I193" s="163"/>
      <c r="J193" s="163"/>
      <c r="K193" s="136"/>
      <c r="L193" s="130" t="s">
        <v>79</v>
      </c>
      <c r="M193" s="164" t="s">
        <v>80</v>
      </c>
      <c r="N193" s="165">
        <f>Invoerensolo!$C$1</f>
        <v>50</v>
      </c>
      <c r="O193" s="166" t="s">
        <v>81</v>
      </c>
      <c r="P193" s="167">
        <f>ROUND(Invoerensolo!$BR$28*Invoerensolo!$C$1/100,4)</f>
        <v>0</v>
      </c>
      <c r="Q193" s="49">
        <f>Invoerensolo!$BT$28</f>
        <v>0</v>
      </c>
    </row>
    <row r="194" spans="2:17" ht="18" customHeight="1">
      <c r="B194" s="135">
        <f>Invoerensolo!$I$28</f>
        <v>0</v>
      </c>
      <c r="C194" s="135">
        <f>Invoerensolo!$G$28</f>
        <v>0</v>
      </c>
      <c r="D194" s="135">
        <f>Invoerensolo!$H$28</f>
        <v>0</v>
      </c>
      <c r="E194" s="126">
        <v>0.4</v>
      </c>
      <c r="F194" s="127"/>
      <c r="G194" s="127"/>
      <c r="H194" s="127"/>
      <c r="I194" s="128"/>
      <c r="J194" s="128"/>
      <c r="K194" s="136"/>
      <c r="L194" s="137" t="s">
        <v>82</v>
      </c>
      <c r="M194" s="138" t="s">
        <v>83</v>
      </c>
      <c r="N194" s="139">
        <f>Invoerensolo!$C$3</f>
        <v>0</v>
      </c>
      <c r="O194" s="140" t="s">
        <v>81</v>
      </c>
      <c r="P194" s="141">
        <f>ROUND(Invoerensolo!$O$28*Invoerensolo!$C$3/100,4)</f>
        <v>0</v>
      </c>
      <c r="Q194" s="7">
        <f>Invoerensolo!$P$28</f>
      </c>
    </row>
    <row r="195" spans="2:17" ht="18" customHeight="1">
      <c r="B195" s="135">
        <f>Invoerensolo!$L$28</f>
        <v>0</v>
      </c>
      <c r="C195" s="135">
        <f>Invoerensolo!$J$28</f>
        <v>0</v>
      </c>
      <c r="D195" s="135">
        <f>Invoerensolo!$K$28</f>
        <v>0</v>
      </c>
      <c r="E195" s="126">
        <v>0.3</v>
      </c>
      <c r="F195" s="127"/>
      <c r="G195" s="127"/>
      <c r="H195" s="127"/>
      <c r="I195" s="128"/>
      <c r="J195" s="128"/>
      <c r="K195" s="136"/>
      <c r="L195" s="137" t="s">
        <v>84</v>
      </c>
      <c r="M195" s="142"/>
      <c r="N195" s="142"/>
      <c r="O195" s="143"/>
      <c r="P195" s="143"/>
      <c r="Q195" s="7"/>
    </row>
    <row r="196" spans="2:17" ht="18" customHeight="1">
      <c r="B196" s="135"/>
      <c r="C196" s="135"/>
      <c r="D196" s="135"/>
      <c r="E196" s="142"/>
      <c r="F196" s="142"/>
      <c r="G196" s="144"/>
      <c r="H196" s="144"/>
      <c r="I196" s="145"/>
      <c r="J196" s="145"/>
      <c r="K196" s="146">
        <f>SUM(K193:K195)</f>
        <v>0</v>
      </c>
      <c r="L196" s="142"/>
      <c r="M196" s="142"/>
      <c r="N196" s="142"/>
      <c r="O196" s="143"/>
      <c r="P196" s="143"/>
      <c r="Q196" s="7"/>
    </row>
    <row r="197" spans="2:17" ht="18" customHeight="1">
      <c r="B197" s="135"/>
      <c r="C197" s="135"/>
      <c r="D197" s="135"/>
      <c r="E197" s="142"/>
      <c r="F197" s="142"/>
      <c r="G197" s="135"/>
      <c r="H197" s="135"/>
      <c r="I197" s="147"/>
      <c r="J197" s="148" t="s">
        <v>85</v>
      </c>
      <c r="K197" s="149"/>
      <c r="L197" s="137" t="s">
        <v>86</v>
      </c>
      <c r="M197" s="142"/>
      <c r="N197" s="142"/>
      <c r="O197" s="143"/>
      <c r="P197" s="143"/>
      <c r="Q197" s="7"/>
    </row>
    <row r="198" spans="2:17" ht="18" customHeight="1">
      <c r="B198" s="135"/>
      <c r="C198" s="150" t="s">
        <v>87</v>
      </c>
      <c r="D198" s="49">
        <f>Invoerensolo!$E$28</f>
        <v>0</v>
      </c>
      <c r="E198" s="151"/>
      <c r="F198" s="142"/>
      <c r="G198" s="135"/>
      <c r="H198" s="135"/>
      <c r="I198" s="147"/>
      <c r="J198" s="106"/>
      <c r="K198" s="152"/>
      <c r="L198" s="142"/>
      <c r="M198" s="148" t="s">
        <v>88</v>
      </c>
      <c r="N198" s="142">
        <f>Invoerensolo!$C$2</f>
        <v>50</v>
      </c>
      <c r="O198" s="153" t="s">
        <v>81</v>
      </c>
      <c r="P198" s="154"/>
      <c r="Q198" s="7">
        <f>Invoerensolo!$R$28</f>
      </c>
    </row>
    <row r="199" spans="2:17" ht="18" customHeight="1">
      <c r="B199" s="135"/>
      <c r="C199" s="150" t="s">
        <v>89</v>
      </c>
      <c r="D199" s="49">
        <f>Invoerensolo!$F$28</f>
        <v>0</v>
      </c>
      <c r="E199" s="151"/>
      <c r="F199" s="142"/>
      <c r="G199" s="135"/>
      <c r="H199" s="135"/>
      <c r="I199" s="155"/>
      <c r="J199" s="106"/>
      <c r="K199" s="152"/>
      <c r="L199" s="142"/>
      <c r="M199" s="156" t="s">
        <v>17</v>
      </c>
      <c r="N199" s="142"/>
      <c r="O199" s="142"/>
      <c r="P199" s="143">
        <f>P193+P194</f>
        <v>0</v>
      </c>
      <c r="Q199" s="157"/>
    </row>
    <row r="200" spans="2:17" ht="18" customHeight="1">
      <c r="B200" s="11"/>
      <c r="C200" s="158"/>
      <c r="D200" s="151"/>
      <c r="E200" s="158"/>
      <c r="F200" s="11"/>
      <c r="G200" s="11"/>
      <c r="H200" s="11"/>
      <c r="I200" s="11"/>
      <c r="J200" s="11"/>
      <c r="K200" s="11"/>
      <c r="L200" s="11"/>
      <c r="M200" s="159"/>
      <c r="N200" s="160"/>
      <c r="O200" s="158"/>
      <c r="P200" s="158"/>
      <c r="Q200" s="11"/>
    </row>
    <row r="201" spans="2:17" ht="18" customHeight="1">
      <c r="B201" s="155">
        <f>Invoerensolo!$A$29</f>
        <v>25</v>
      </c>
      <c r="C201" s="161">
        <f>Invoerensolo!$D$29</f>
        <v>0</v>
      </c>
      <c r="D201" s="125">
        <f>Invoerensolo!$M$29</f>
        <v>0</v>
      </c>
      <c r="E201" s="126">
        <v>0.3</v>
      </c>
      <c r="F201" s="162"/>
      <c r="G201" s="162"/>
      <c r="H201" s="162"/>
      <c r="I201" s="163"/>
      <c r="J201" s="163"/>
      <c r="K201" s="136"/>
      <c r="L201" s="130" t="s">
        <v>79</v>
      </c>
      <c r="M201" s="164" t="s">
        <v>80</v>
      </c>
      <c r="N201" s="165">
        <f>Invoerensolo!$C$1</f>
        <v>50</v>
      </c>
      <c r="O201" s="166" t="s">
        <v>81</v>
      </c>
      <c r="P201" s="167">
        <f>ROUND(Invoerensolo!$BR$29*Invoerensolo!$C$1/100,4)</f>
        <v>0</v>
      </c>
      <c r="Q201" s="49">
        <f>Invoerensolo!$BT$29</f>
        <v>0</v>
      </c>
    </row>
    <row r="202" spans="2:17" ht="18" customHeight="1">
      <c r="B202" s="135">
        <f>Invoerensolo!$I$29</f>
        <v>0</v>
      </c>
      <c r="C202" s="135">
        <f>Invoerensolo!$G$29</f>
        <v>0</v>
      </c>
      <c r="D202" s="135">
        <f>Invoerensolo!$H$29</f>
        <v>0</v>
      </c>
      <c r="E202" s="126">
        <v>0.4</v>
      </c>
      <c r="F202" s="127"/>
      <c r="G202" s="127"/>
      <c r="H202" s="127"/>
      <c r="I202" s="128"/>
      <c r="J202" s="128"/>
      <c r="K202" s="136"/>
      <c r="L202" s="137" t="s">
        <v>82</v>
      </c>
      <c r="M202" s="138" t="s">
        <v>83</v>
      </c>
      <c r="N202" s="139">
        <f>Invoerensolo!$C$3</f>
        <v>0</v>
      </c>
      <c r="O202" s="140" t="s">
        <v>81</v>
      </c>
      <c r="P202" s="141">
        <f>ROUND(Invoerensolo!$O$29*Invoerensolo!$C$3/100,4)</f>
        <v>0</v>
      </c>
      <c r="Q202" s="7">
        <f>Invoerensolo!$P$29</f>
      </c>
    </row>
    <row r="203" spans="2:17" ht="18" customHeight="1">
      <c r="B203" s="135">
        <f>Invoerensolo!$L$29</f>
        <v>0</v>
      </c>
      <c r="C203" s="135">
        <f>Invoerensolo!$J$29</f>
        <v>0</v>
      </c>
      <c r="D203" s="135">
        <f>Invoerensolo!$K$29</f>
        <v>0</v>
      </c>
      <c r="E203" s="126">
        <v>0.3</v>
      </c>
      <c r="F203" s="127"/>
      <c r="G203" s="127"/>
      <c r="H203" s="127"/>
      <c r="I203" s="128"/>
      <c r="J203" s="128"/>
      <c r="K203" s="136"/>
      <c r="L203" s="137" t="s">
        <v>84</v>
      </c>
      <c r="M203" s="142"/>
      <c r="N203" s="142"/>
      <c r="O203" s="143"/>
      <c r="P203" s="143"/>
      <c r="Q203" s="7"/>
    </row>
    <row r="204" spans="2:17" ht="18" customHeight="1">
      <c r="B204" s="135"/>
      <c r="C204" s="135"/>
      <c r="D204" s="135"/>
      <c r="E204" s="142"/>
      <c r="F204" s="142"/>
      <c r="G204" s="144"/>
      <c r="H204" s="144"/>
      <c r="I204" s="145"/>
      <c r="J204" s="145"/>
      <c r="K204" s="146">
        <f>SUM(K201:K203)</f>
        <v>0</v>
      </c>
      <c r="L204" s="142"/>
      <c r="M204" s="142"/>
      <c r="N204" s="142"/>
      <c r="O204" s="143"/>
      <c r="P204" s="143"/>
      <c r="Q204" s="7"/>
    </row>
    <row r="205" spans="2:17" ht="18" customHeight="1">
      <c r="B205" s="135"/>
      <c r="C205" s="135"/>
      <c r="D205" s="135"/>
      <c r="E205" s="142"/>
      <c r="F205" s="142"/>
      <c r="G205" s="135"/>
      <c r="H205" s="135"/>
      <c r="I205" s="147"/>
      <c r="J205" s="148" t="s">
        <v>85</v>
      </c>
      <c r="K205" s="149"/>
      <c r="L205" s="137" t="s">
        <v>86</v>
      </c>
      <c r="M205" s="142"/>
      <c r="N205" s="142"/>
      <c r="O205" s="143"/>
      <c r="P205" s="143"/>
      <c r="Q205" s="7"/>
    </row>
    <row r="206" spans="2:17" ht="18" customHeight="1">
      <c r="B206" s="135"/>
      <c r="C206" s="150" t="s">
        <v>87</v>
      </c>
      <c r="D206" s="49">
        <f>Invoerensolo!$E$29</f>
        <v>0</v>
      </c>
      <c r="E206" s="151"/>
      <c r="F206" s="142"/>
      <c r="G206" s="135"/>
      <c r="H206" s="135"/>
      <c r="I206" s="147"/>
      <c r="J206" s="106"/>
      <c r="K206" s="152"/>
      <c r="L206" s="142"/>
      <c r="M206" s="148" t="s">
        <v>88</v>
      </c>
      <c r="N206" s="142">
        <f>Invoerensolo!$C$2</f>
        <v>50</v>
      </c>
      <c r="O206" s="153" t="s">
        <v>81</v>
      </c>
      <c r="P206" s="154"/>
      <c r="Q206" s="7">
        <f>Invoerensolo!$R$29</f>
      </c>
    </row>
    <row r="207" spans="2:17" ht="18" customHeight="1">
      <c r="B207" s="135"/>
      <c r="C207" s="150" t="s">
        <v>89</v>
      </c>
      <c r="D207" s="49">
        <f>Invoerensolo!$F$29</f>
        <v>0</v>
      </c>
      <c r="E207" s="151"/>
      <c r="F207" s="142"/>
      <c r="G207" s="135"/>
      <c r="H207" s="135"/>
      <c r="I207" s="155"/>
      <c r="J207" s="106"/>
      <c r="K207" s="152"/>
      <c r="L207" s="142"/>
      <c r="M207" s="156" t="s">
        <v>17</v>
      </c>
      <c r="N207" s="142"/>
      <c r="O207" s="142"/>
      <c r="P207" s="143">
        <f>P201+P202</f>
        <v>0</v>
      </c>
      <c r="Q207" s="157"/>
    </row>
    <row r="208" spans="2:17" ht="18" customHeight="1">
      <c r="B208" s="11"/>
      <c r="C208" s="158"/>
      <c r="D208" s="151"/>
      <c r="E208" s="158"/>
      <c r="F208" s="11"/>
      <c r="G208" s="11"/>
      <c r="H208" s="11"/>
      <c r="I208" s="11"/>
      <c r="J208" s="11"/>
      <c r="K208" s="11"/>
      <c r="L208" s="11"/>
      <c r="M208" s="159"/>
      <c r="N208" s="160"/>
      <c r="O208" s="158"/>
      <c r="P208" s="158"/>
      <c r="Q208" s="11"/>
    </row>
    <row r="209" spans="2:17" ht="18" customHeight="1">
      <c r="B209" s="155">
        <f>Invoerensolo!$A$30</f>
        <v>26</v>
      </c>
      <c r="C209" s="161">
        <f>Invoerensolo!$D$30</f>
        <v>0</v>
      </c>
      <c r="D209" s="125">
        <f>Invoerensolo!$M$30</f>
        <v>0</v>
      </c>
      <c r="E209" s="126">
        <v>0.3</v>
      </c>
      <c r="F209" s="162"/>
      <c r="G209" s="162"/>
      <c r="H209" s="162"/>
      <c r="I209" s="163"/>
      <c r="J209" s="163"/>
      <c r="K209" s="136"/>
      <c r="L209" s="130" t="s">
        <v>79</v>
      </c>
      <c r="M209" s="164" t="s">
        <v>80</v>
      </c>
      <c r="N209" s="165">
        <f>Invoerensolo!$C$1</f>
        <v>50</v>
      </c>
      <c r="O209" s="166" t="s">
        <v>81</v>
      </c>
      <c r="P209" s="167">
        <f>ROUND(Invoerensolo!$BR$30*Invoerensolo!$C$1/100,4)</f>
        <v>0</v>
      </c>
      <c r="Q209" s="49">
        <f>Invoerensolo!$BT$30</f>
        <v>0</v>
      </c>
    </row>
    <row r="210" spans="2:17" ht="18" customHeight="1">
      <c r="B210" s="135">
        <f>Invoerensolo!$I$30</f>
        <v>0</v>
      </c>
      <c r="C210" s="135">
        <f>Invoerensolo!$G$30</f>
        <v>0</v>
      </c>
      <c r="D210" s="135">
        <f>Invoerensolo!$H$30</f>
        <v>0</v>
      </c>
      <c r="E210" s="126">
        <v>0.4</v>
      </c>
      <c r="F210" s="127"/>
      <c r="G210" s="127"/>
      <c r="H210" s="127"/>
      <c r="I210" s="128"/>
      <c r="J210" s="128"/>
      <c r="K210" s="136"/>
      <c r="L210" s="137" t="s">
        <v>82</v>
      </c>
      <c r="M210" s="138" t="s">
        <v>83</v>
      </c>
      <c r="N210" s="139">
        <f>Invoerensolo!$C$3</f>
        <v>0</v>
      </c>
      <c r="O210" s="140" t="s">
        <v>81</v>
      </c>
      <c r="P210" s="141">
        <f>ROUND(Invoerensolo!$O$30*Invoerensolo!$C$3/100,4)</f>
        <v>0</v>
      </c>
      <c r="Q210" s="7">
        <f>Invoerensolo!$P$30</f>
      </c>
    </row>
    <row r="211" spans="2:17" ht="18" customHeight="1">
      <c r="B211" s="135">
        <f>Invoerensolo!$L$30</f>
        <v>0</v>
      </c>
      <c r="C211" s="135">
        <f>Invoerensolo!$J$30</f>
        <v>0</v>
      </c>
      <c r="D211" s="135">
        <f>Invoerensolo!$K$30</f>
        <v>0</v>
      </c>
      <c r="E211" s="126">
        <v>0.3</v>
      </c>
      <c r="F211" s="127"/>
      <c r="G211" s="127"/>
      <c r="H211" s="127"/>
      <c r="I211" s="128"/>
      <c r="J211" s="128"/>
      <c r="K211" s="136"/>
      <c r="L211" s="137" t="s">
        <v>84</v>
      </c>
      <c r="M211" s="142"/>
      <c r="N211" s="142"/>
      <c r="O211" s="143"/>
      <c r="P211" s="143"/>
      <c r="Q211" s="7"/>
    </row>
    <row r="212" spans="2:17" ht="18" customHeight="1">
      <c r="B212" s="135"/>
      <c r="C212" s="135"/>
      <c r="D212" s="135"/>
      <c r="E212" s="142"/>
      <c r="F212" s="142"/>
      <c r="G212" s="144"/>
      <c r="H212" s="144"/>
      <c r="I212" s="145"/>
      <c r="J212" s="145"/>
      <c r="K212" s="146">
        <f>SUM(K209:K211)</f>
        <v>0</v>
      </c>
      <c r="L212" s="142"/>
      <c r="M212" s="142"/>
      <c r="N212" s="142"/>
      <c r="O212" s="143"/>
      <c r="P212" s="143"/>
      <c r="Q212" s="7"/>
    </row>
    <row r="213" spans="2:17" ht="18" customHeight="1">
      <c r="B213" s="135"/>
      <c r="C213" s="135"/>
      <c r="D213" s="135"/>
      <c r="E213" s="142"/>
      <c r="F213" s="142"/>
      <c r="G213" s="135"/>
      <c r="H213" s="135"/>
      <c r="I213" s="147"/>
      <c r="J213" s="148" t="s">
        <v>85</v>
      </c>
      <c r="K213" s="149"/>
      <c r="L213" s="137" t="s">
        <v>86</v>
      </c>
      <c r="M213" s="142"/>
      <c r="N213" s="142"/>
      <c r="O213" s="143"/>
      <c r="P213" s="143"/>
      <c r="Q213" s="7"/>
    </row>
    <row r="214" spans="2:17" ht="18" customHeight="1">
      <c r="B214" s="135"/>
      <c r="C214" s="150" t="s">
        <v>87</v>
      </c>
      <c r="D214" s="49">
        <f>Invoerensolo!$E$30</f>
        <v>0</v>
      </c>
      <c r="E214" s="151"/>
      <c r="F214" s="142"/>
      <c r="G214" s="135"/>
      <c r="H214" s="135"/>
      <c r="I214" s="147"/>
      <c r="J214" s="106"/>
      <c r="K214" s="152"/>
      <c r="L214" s="142"/>
      <c r="M214" s="148" t="s">
        <v>88</v>
      </c>
      <c r="N214" s="142">
        <f>Invoerensolo!$C$2</f>
        <v>50</v>
      </c>
      <c r="O214" s="153" t="s">
        <v>81</v>
      </c>
      <c r="P214" s="154"/>
      <c r="Q214" s="7">
        <f>Invoerensolo!$R$30</f>
      </c>
    </row>
    <row r="215" spans="2:17" ht="18" customHeight="1">
      <c r="B215" s="135"/>
      <c r="C215" s="150" t="s">
        <v>89</v>
      </c>
      <c r="D215" s="49">
        <f>Invoerensolo!$F$30</f>
        <v>0</v>
      </c>
      <c r="E215" s="151"/>
      <c r="F215" s="142"/>
      <c r="G215" s="135"/>
      <c r="H215" s="135"/>
      <c r="I215" s="155"/>
      <c r="J215" s="106"/>
      <c r="K215" s="152"/>
      <c r="L215" s="142"/>
      <c r="M215" s="156" t="s">
        <v>17</v>
      </c>
      <c r="N215" s="142"/>
      <c r="O215" s="142"/>
      <c r="P215" s="143">
        <f>P209+P210</f>
        <v>0</v>
      </c>
      <c r="Q215" s="157"/>
    </row>
    <row r="216" spans="2:17" ht="18" customHeight="1">
      <c r="B216" s="11"/>
      <c r="C216" s="158"/>
      <c r="D216" s="151"/>
      <c r="E216" s="158"/>
      <c r="F216" s="11"/>
      <c r="G216" s="11"/>
      <c r="H216" s="11"/>
      <c r="I216" s="11"/>
      <c r="J216" s="11"/>
      <c r="K216" s="11"/>
      <c r="L216" s="11"/>
      <c r="M216" s="159"/>
      <c r="N216" s="160"/>
      <c r="O216" s="158"/>
      <c r="P216" s="158"/>
      <c r="Q216" s="11"/>
    </row>
    <row r="217" spans="2:17" ht="18" customHeight="1">
      <c r="B217" s="155">
        <f>Invoerensolo!$A$31</f>
        <v>27</v>
      </c>
      <c r="C217" s="161">
        <f>Invoerensolo!$D$31</f>
        <v>0</v>
      </c>
      <c r="D217" s="125">
        <f>Invoerensolo!$M$31</f>
        <v>0</v>
      </c>
      <c r="E217" s="126">
        <v>0.3</v>
      </c>
      <c r="F217" s="162"/>
      <c r="G217" s="162"/>
      <c r="H217" s="162"/>
      <c r="I217" s="163"/>
      <c r="J217" s="163"/>
      <c r="K217" s="136"/>
      <c r="L217" s="130" t="s">
        <v>79</v>
      </c>
      <c r="M217" s="164" t="s">
        <v>80</v>
      </c>
      <c r="N217" s="165">
        <f>Invoerensolo!$C$1</f>
        <v>50</v>
      </c>
      <c r="O217" s="166" t="s">
        <v>81</v>
      </c>
      <c r="P217" s="167">
        <f>ROUND(Invoerensolo!$BR$31*Invoerensolo!$C$1/100,4)</f>
        <v>0</v>
      </c>
      <c r="Q217" s="49">
        <f>Invoerensolo!$BT$31</f>
        <v>0</v>
      </c>
    </row>
    <row r="218" spans="2:17" ht="18" customHeight="1">
      <c r="B218" s="135">
        <f>Invoerensolo!$I$31</f>
        <v>0</v>
      </c>
      <c r="C218" s="135">
        <f>Invoerensolo!$G$31</f>
        <v>0</v>
      </c>
      <c r="D218" s="135">
        <f>Invoerensolo!$H$31</f>
        <v>0</v>
      </c>
      <c r="E218" s="126">
        <v>0.4</v>
      </c>
      <c r="F218" s="127"/>
      <c r="G218" s="127"/>
      <c r="H218" s="127"/>
      <c r="I218" s="128"/>
      <c r="J218" s="128"/>
      <c r="K218" s="136"/>
      <c r="L218" s="137" t="s">
        <v>82</v>
      </c>
      <c r="M218" s="138" t="s">
        <v>83</v>
      </c>
      <c r="N218" s="139">
        <f>Invoerensolo!$C$3</f>
        <v>0</v>
      </c>
      <c r="O218" s="140" t="s">
        <v>81</v>
      </c>
      <c r="P218" s="141">
        <f>ROUND(Invoerensolo!$O$31*Invoerensolo!$C$3/100,4)</f>
        <v>0</v>
      </c>
      <c r="Q218" s="7">
        <f>Invoerensolo!$P$31</f>
      </c>
    </row>
    <row r="219" spans="2:17" ht="18" customHeight="1">
      <c r="B219" s="135">
        <f>Invoerensolo!$L$31</f>
        <v>0</v>
      </c>
      <c r="C219" s="135">
        <f>Invoerensolo!$J$31</f>
        <v>0</v>
      </c>
      <c r="D219" s="135">
        <f>Invoerensolo!$K$31</f>
        <v>0</v>
      </c>
      <c r="E219" s="126">
        <v>0.3</v>
      </c>
      <c r="F219" s="127"/>
      <c r="G219" s="127"/>
      <c r="H219" s="127"/>
      <c r="I219" s="128"/>
      <c r="J219" s="128"/>
      <c r="K219" s="136"/>
      <c r="L219" s="137" t="s">
        <v>84</v>
      </c>
      <c r="M219" s="142"/>
      <c r="N219" s="142"/>
      <c r="O219" s="143"/>
      <c r="P219" s="143"/>
      <c r="Q219" s="7"/>
    </row>
    <row r="220" spans="2:17" ht="18" customHeight="1">
      <c r="B220" s="135"/>
      <c r="C220" s="135"/>
      <c r="D220" s="135"/>
      <c r="E220" s="142"/>
      <c r="F220" s="142"/>
      <c r="G220" s="144"/>
      <c r="H220" s="144"/>
      <c r="I220" s="145"/>
      <c r="J220" s="145"/>
      <c r="K220" s="146">
        <f>SUM(K217:K219)</f>
        <v>0</v>
      </c>
      <c r="L220" s="142"/>
      <c r="M220" s="142"/>
      <c r="N220" s="142"/>
      <c r="O220" s="143"/>
      <c r="P220" s="143"/>
      <c r="Q220" s="7"/>
    </row>
    <row r="221" spans="2:17" ht="18" customHeight="1">
      <c r="B221" s="135"/>
      <c r="C221" s="135"/>
      <c r="D221" s="135"/>
      <c r="E221" s="142"/>
      <c r="F221" s="142"/>
      <c r="G221" s="135"/>
      <c r="H221" s="135"/>
      <c r="I221" s="147"/>
      <c r="J221" s="148" t="s">
        <v>85</v>
      </c>
      <c r="K221" s="149"/>
      <c r="L221" s="137" t="s">
        <v>86</v>
      </c>
      <c r="M221" s="142"/>
      <c r="N221" s="142"/>
      <c r="O221" s="143"/>
      <c r="P221" s="143"/>
      <c r="Q221" s="7"/>
    </row>
    <row r="222" spans="2:17" ht="18" customHeight="1">
      <c r="B222" s="135"/>
      <c r="C222" s="150" t="s">
        <v>87</v>
      </c>
      <c r="D222" s="49">
        <f>Invoerensolo!$E$31</f>
        <v>0</v>
      </c>
      <c r="E222" s="151"/>
      <c r="F222" s="142"/>
      <c r="G222" s="135"/>
      <c r="H222" s="135"/>
      <c r="I222" s="147"/>
      <c r="J222" s="106"/>
      <c r="K222" s="152"/>
      <c r="L222" s="142"/>
      <c r="M222" s="148" t="s">
        <v>88</v>
      </c>
      <c r="N222" s="142">
        <f>Invoerensolo!$C$2</f>
        <v>50</v>
      </c>
      <c r="O222" s="153" t="s">
        <v>81</v>
      </c>
      <c r="P222" s="154"/>
      <c r="Q222" s="7">
        <f>Invoerensolo!$R$31</f>
      </c>
    </row>
    <row r="223" spans="2:17" ht="18" customHeight="1">
      <c r="B223" s="135"/>
      <c r="C223" s="150" t="s">
        <v>89</v>
      </c>
      <c r="D223" s="49">
        <f>Invoerensolo!$F$31</f>
        <v>0</v>
      </c>
      <c r="E223" s="151"/>
      <c r="F223" s="142"/>
      <c r="G223" s="135"/>
      <c r="H223" s="135"/>
      <c r="I223" s="155"/>
      <c r="J223" s="106"/>
      <c r="K223" s="152"/>
      <c r="L223" s="142"/>
      <c r="M223" s="156" t="s">
        <v>17</v>
      </c>
      <c r="N223" s="142"/>
      <c r="O223" s="142"/>
      <c r="P223" s="143">
        <f>P217+P218</f>
        <v>0</v>
      </c>
      <c r="Q223" s="157"/>
    </row>
    <row r="224" spans="2:17" ht="18" customHeight="1">
      <c r="B224" s="11"/>
      <c r="C224" s="158"/>
      <c r="D224" s="151"/>
      <c r="E224" s="158"/>
      <c r="F224" s="11"/>
      <c r="G224" s="11"/>
      <c r="H224" s="11"/>
      <c r="I224" s="11"/>
      <c r="J224" s="11"/>
      <c r="K224" s="11"/>
      <c r="L224" s="11"/>
      <c r="M224" s="159"/>
      <c r="N224" s="160"/>
      <c r="O224" s="158"/>
      <c r="P224" s="158"/>
      <c r="Q224" s="11"/>
    </row>
    <row r="225" spans="2:17" ht="18" customHeight="1">
      <c r="B225" s="155">
        <f>Invoerensolo!$A$32</f>
        <v>28</v>
      </c>
      <c r="C225" s="161">
        <f>Invoerensolo!$D$32</f>
        <v>0</v>
      </c>
      <c r="D225" s="125">
        <f>Invoerensolo!$M$32</f>
        <v>0</v>
      </c>
      <c r="E225" s="126">
        <v>0.3</v>
      </c>
      <c r="F225" s="162"/>
      <c r="G225" s="162"/>
      <c r="H225" s="162"/>
      <c r="I225" s="163"/>
      <c r="J225" s="163"/>
      <c r="K225" s="136"/>
      <c r="L225" s="130" t="s">
        <v>79</v>
      </c>
      <c r="M225" s="164" t="s">
        <v>80</v>
      </c>
      <c r="N225" s="165">
        <f>Invoerensolo!$C$1</f>
        <v>50</v>
      </c>
      <c r="O225" s="166" t="s">
        <v>81</v>
      </c>
      <c r="P225" s="167">
        <f>ROUND(Invoerensolo!$BR$32*Invoerensolo!$C$1/100,4)</f>
        <v>0</v>
      </c>
      <c r="Q225" s="49">
        <f>Invoerensolo!$BT$32</f>
        <v>0</v>
      </c>
    </row>
    <row r="226" spans="2:17" ht="18" customHeight="1">
      <c r="B226" s="135">
        <f>Invoerensolo!$I$32</f>
        <v>0</v>
      </c>
      <c r="C226" s="135">
        <f>Invoerensolo!$G$32</f>
        <v>0</v>
      </c>
      <c r="D226" s="135">
        <f>Invoerensolo!$H$32</f>
        <v>0</v>
      </c>
      <c r="E226" s="126">
        <v>0.4</v>
      </c>
      <c r="F226" s="127"/>
      <c r="G226" s="127"/>
      <c r="H226" s="127"/>
      <c r="I226" s="128"/>
      <c r="J226" s="128"/>
      <c r="K226" s="136"/>
      <c r="L226" s="137" t="s">
        <v>82</v>
      </c>
      <c r="M226" s="138" t="s">
        <v>83</v>
      </c>
      <c r="N226" s="139">
        <f>Invoerensolo!$C$3</f>
        <v>0</v>
      </c>
      <c r="O226" s="140" t="s">
        <v>81</v>
      </c>
      <c r="P226" s="141">
        <f>ROUND(Invoerensolo!$O$32*Invoerensolo!$C$3/100,4)</f>
        <v>0</v>
      </c>
      <c r="Q226" s="7">
        <f>Invoerensolo!$P$32</f>
      </c>
    </row>
    <row r="227" spans="2:17" ht="18" customHeight="1">
      <c r="B227" s="135">
        <f>Invoerensolo!$L$32</f>
        <v>0</v>
      </c>
      <c r="C227" s="135">
        <f>Invoerensolo!$J$32</f>
        <v>0</v>
      </c>
      <c r="D227" s="135">
        <f>Invoerensolo!$K$32</f>
        <v>0</v>
      </c>
      <c r="E227" s="126">
        <v>0.3</v>
      </c>
      <c r="F227" s="127"/>
      <c r="G227" s="127"/>
      <c r="H227" s="127"/>
      <c r="I227" s="128"/>
      <c r="J227" s="128"/>
      <c r="K227" s="136"/>
      <c r="L227" s="137" t="s">
        <v>84</v>
      </c>
      <c r="M227" s="142"/>
      <c r="N227" s="142"/>
      <c r="O227" s="143"/>
      <c r="P227" s="143"/>
      <c r="Q227" s="7"/>
    </row>
    <row r="228" spans="2:17" ht="18" customHeight="1">
      <c r="B228" s="135"/>
      <c r="C228" s="135"/>
      <c r="D228" s="135"/>
      <c r="E228" s="142"/>
      <c r="F228" s="142"/>
      <c r="G228" s="144"/>
      <c r="H228" s="144"/>
      <c r="I228" s="145"/>
      <c r="J228" s="145"/>
      <c r="K228" s="146">
        <f>SUM(K225:K227)</f>
        <v>0</v>
      </c>
      <c r="L228" s="142"/>
      <c r="M228" s="142"/>
      <c r="N228" s="142"/>
      <c r="O228" s="143"/>
      <c r="P228" s="143"/>
      <c r="Q228" s="7"/>
    </row>
    <row r="229" spans="2:17" ht="18" customHeight="1">
      <c r="B229" s="135"/>
      <c r="C229" s="135"/>
      <c r="D229" s="135"/>
      <c r="E229" s="142"/>
      <c r="F229" s="142"/>
      <c r="G229" s="135"/>
      <c r="H229" s="135"/>
      <c r="I229" s="147"/>
      <c r="J229" s="148" t="s">
        <v>85</v>
      </c>
      <c r="K229" s="149"/>
      <c r="L229" s="137" t="s">
        <v>86</v>
      </c>
      <c r="M229" s="142"/>
      <c r="N229" s="142"/>
      <c r="O229" s="143"/>
      <c r="P229" s="143"/>
      <c r="Q229" s="7"/>
    </row>
    <row r="230" spans="2:17" ht="18" customHeight="1">
      <c r="B230" s="135"/>
      <c r="C230" s="150" t="s">
        <v>87</v>
      </c>
      <c r="D230" s="49">
        <f>Invoerensolo!$E$32</f>
        <v>0</v>
      </c>
      <c r="E230" s="151"/>
      <c r="F230" s="142"/>
      <c r="G230" s="135"/>
      <c r="H230" s="135"/>
      <c r="I230" s="147"/>
      <c r="J230" s="106"/>
      <c r="K230" s="152"/>
      <c r="L230" s="142"/>
      <c r="M230" s="148" t="s">
        <v>88</v>
      </c>
      <c r="N230" s="142">
        <f>Invoerensolo!$C$2</f>
        <v>50</v>
      </c>
      <c r="O230" s="153" t="s">
        <v>81</v>
      </c>
      <c r="P230" s="154"/>
      <c r="Q230" s="7">
        <f>Invoerensolo!$R$32</f>
      </c>
    </row>
    <row r="231" spans="2:17" ht="18" customHeight="1">
      <c r="B231" s="135"/>
      <c r="C231" s="150" t="s">
        <v>89</v>
      </c>
      <c r="D231" s="49">
        <f>Invoerensolo!$F$32</f>
        <v>0</v>
      </c>
      <c r="E231" s="151"/>
      <c r="F231" s="142"/>
      <c r="G231" s="135"/>
      <c r="H231" s="135"/>
      <c r="I231" s="155"/>
      <c r="J231" s="106"/>
      <c r="K231" s="152"/>
      <c r="L231" s="142"/>
      <c r="M231" s="156" t="s">
        <v>17</v>
      </c>
      <c r="N231" s="142"/>
      <c r="O231" s="142"/>
      <c r="P231" s="143">
        <f>P225+P226</f>
        <v>0</v>
      </c>
      <c r="Q231" s="157"/>
    </row>
    <row r="232" spans="2:17" ht="18" customHeight="1">
      <c r="B232" s="11"/>
      <c r="C232" s="158"/>
      <c r="D232" s="151"/>
      <c r="E232" s="158"/>
      <c r="F232" s="11"/>
      <c r="G232" s="11"/>
      <c r="H232" s="11"/>
      <c r="I232" s="11"/>
      <c r="J232" s="11"/>
      <c r="K232" s="11"/>
      <c r="L232" s="11"/>
      <c r="M232" s="159"/>
      <c r="N232" s="160"/>
      <c r="O232" s="158"/>
      <c r="P232" s="158"/>
      <c r="Q232" s="11"/>
    </row>
    <row r="233" spans="2:17" ht="18" customHeight="1">
      <c r="B233" s="155">
        <f>Invoerensolo!$A$33</f>
        <v>29</v>
      </c>
      <c r="C233" s="161">
        <f>Invoerensolo!$D$33</f>
        <v>0</v>
      </c>
      <c r="D233" s="125">
        <f>Invoerensolo!$M$33</f>
        <v>0</v>
      </c>
      <c r="E233" s="126">
        <v>0.3</v>
      </c>
      <c r="F233" s="162"/>
      <c r="G233" s="162"/>
      <c r="H233" s="162"/>
      <c r="I233" s="163"/>
      <c r="J233" s="163"/>
      <c r="K233" s="136"/>
      <c r="L233" s="130" t="s">
        <v>79</v>
      </c>
      <c r="M233" s="164" t="s">
        <v>80</v>
      </c>
      <c r="N233" s="165">
        <f>Invoerensolo!$C$1</f>
        <v>50</v>
      </c>
      <c r="O233" s="166" t="s">
        <v>81</v>
      </c>
      <c r="P233" s="167">
        <f>ROUND(Invoerensolo!$BR$33*Invoerensolo!$C$1/100,4)</f>
        <v>0</v>
      </c>
      <c r="Q233" s="49">
        <f>Invoerensolo!$BT$33</f>
        <v>0</v>
      </c>
    </row>
    <row r="234" spans="2:17" ht="18" customHeight="1">
      <c r="B234" s="135">
        <f>Invoerensolo!$I$33</f>
        <v>0</v>
      </c>
      <c r="C234" s="135">
        <f>Invoerensolo!$G$33</f>
        <v>0</v>
      </c>
      <c r="D234" s="135">
        <f>Invoerensolo!$H$33</f>
        <v>0</v>
      </c>
      <c r="E234" s="126">
        <v>0.4</v>
      </c>
      <c r="F234" s="127"/>
      <c r="G234" s="127"/>
      <c r="H234" s="127"/>
      <c r="I234" s="128"/>
      <c r="J234" s="128"/>
      <c r="K234" s="136"/>
      <c r="L234" s="137" t="s">
        <v>82</v>
      </c>
      <c r="M234" s="138" t="s">
        <v>83</v>
      </c>
      <c r="N234" s="139">
        <f>Invoerensolo!$C$3</f>
        <v>0</v>
      </c>
      <c r="O234" s="140" t="s">
        <v>81</v>
      </c>
      <c r="P234" s="141">
        <f>ROUND(Invoerensolo!$O$33*Invoerensolo!$C$3/100,4)</f>
        <v>0</v>
      </c>
      <c r="Q234" s="7">
        <f>Invoerensolo!$P$33</f>
      </c>
    </row>
    <row r="235" spans="2:17" ht="18" customHeight="1">
      <c r="B235" s="135">
        <f>Invoerensolo!$L$33</f>
        <v>0</v>
      </c>
      <c r="C235" s="135">
        <f>Invoerensolo!$J$33</f>
        <v>0</v>
      </c>
      <c r="D235" s="135">
        <f>Invoerensolo!$K$33</f>
        <v>0</v>
      </c>
      <c r="E235" s="126">
        <v>0.3</v>
      </c>
      <c r="F235" s="127"/>
      <c r="G235" s="127"/>
      <c r="H235" s="127"/>
      <c r="I235" s="128"/>
      <c r="J235" s="128"/>
      <c r="K235" s="136"/>
      <c r="L235" s="137" t="s">
        <v>84</v>
      </c>
      <c r="M235" s="142"/>
      <c r="N235" s="142"/>
      <c r="O235" s="143"/>
      <c r="P235" s="143"/>
      <c r="Q235" s="7"/>
    </row>
    <row r="236" spans="2:17" ht="18" customHeight="1">
      <c r="B236" s="135"/>
      <c r="C236" s="135"/>
      <c r="D236" s="135"/>
      <c r="E236" s="142"/>
      <c r="F236" s="142"/>
      <c r="G236" s="144"/>
      <c r="H236" s="144"/>
      <c r="I236" s="145"/>
      <c r="J236" s="145"/>
      <c r="K236" s="146">
        <f>SUM(K233:K235)</f>
        <v>0</v>
      </c>
      <c r="L236" s="142"/>
      <c r="M236" s="142"/>
      <c r="N236" s="142"/>
      <c r="O236" s="143"/>
      <c r="P236" s="143"/>
      <c r="Q236" s="7"/>
    </row>
    <row r="237" spans="2:17" ht="18" customHeight="1">
      <c r="B237" s="135"/>
      <c r="C237" s="135"/>
      <c r="D237" s="135"/>
      <c r="E237" s="142"/>
      <c r="F237" s="142"/>
      <c r="G237" s="135"/>
      <c r="H237" s="135"/>
      <c r="I237" s="147"/>
      <c r="J237" s="148" t="s">
        <v>85</v>
      </c>
      <c r="K237" s="149"/>
      <c r="L237" s="137" t="s">
        <v>86</v>
      </c>
      <c r="M237" s="142"/>
      <c r="N237" s="142"/>
      <c r="O237" s="143"/>
      <c r="P237" s="143"/>
      <c r="Q237" s="7"/>
    </row>
    <row r="238" spans="2:17" ht="18" customHeight="1">
      <c r="B238" s="135"/>
      <c r="C238" s="150" t="s">
        <v>87</v>
      </c>
      <c r="D238" s="49">
        <f>Invoerensolo!$E$33</f>
        <v>0</v>
      </c>
      <c r="E238" s="151"/>
      <c r="F238" s="142"/>
      <c r="G238" s="135"/>
      <c r="H238" s="135"/>
      <c r="I238" s="147"/>
      <c r="J238" s="106"/>
      <c r="K238" s="152"/>
      <c r="L238" s="142"/>
      <c r="M238" s="148" t="s">
        <v>88</v>
      </c>
      <c r="N238" s="142">
        <f>Invoerensolo!$C$2</f>
        <v>50</v>
      </c>
      <c r="O238" s="153" t="s">
        <v>81</v>
      </c>
      <c r="P238" s="154"/>
      <c r="Q238" s="7">
        <f>Invoerensolo!$R$33</f>
      </c>
    </row>
    <row r="239" spans="2:17" ht="18" customHeight="1">
      <c r="B239" s="135"/>
      <c r="C239" s="150" t="s">
        <v>89</v>
      </c>
      <c r="D239" s="49">
        <f>Invoerensolo!$F$33</f>
        <v>0</v>
      </c>
      <c r="E239" s="151"/>
      <c r="F239" s="142"/>
      <c r="G239" s="135"/>
      <c r="H239" s="135"/>
      <c r="I239" s="155"/>
      <c r="J239" s="106"/>
      <c r="K239" s="152"/>
      <c r="L239" s="142"/>
      <c r="M239" s="156" t="s">
        <v>17</v>
      </c>
      <c r="N239" s="142"/>
      <c r="O239" s="142"/>
      <c r="P239" s="143">
        <f>P233+P234</f>
        <v>0</v>
      </c>
      <c r="Q239" s="157"/>
    </row>
    <row r="240" spans="2:17" ht="18" customHeight="1">
      <c r="B240" s="11"/>
      <c r="C240" s="158"/>
      <c r="D240" s="151"/>
      <c r="E240" s="158"/>
      <c r="F240" s="11"/>
      <c r="G240" s="11"/>
      <c r="H240" s="11"/>
      <c r="I240" s="11"/>
      <c r="J240" s="11"/>
      <c r="K240" s="11"/>
      <c r="L240" s="11"/>
      <c r="M240" s="159"/>
      <c r="N240" s="160"/>
      <c r="O240" s="158"/>
      <c r="P240" s="158"/>
      <c r="Q240" s="11"/>
    </row>
    <row r="241" spans="2:17" ht="18" customHeight="1">
      <c r="B241" s="155">
        <f>Invoerensolo!$A$34</f>
        <v>30</v>
      </c>
      <c r="C241" s="161">
        <f>Invoerensolo!$D$34</f>
        <v>0</v>
      </c>
      <c r="D241" s="125">
        <f>Invoerensolo!$M$34</f>
        <v>0</v>
      </c>
      <c r="E241" s="126">
        <v>0.3</v>
      </c>
      <c r="F241" s="162"/>
      <c r="G241" s="162"/>
      <c r="H241" s="162"/>
      <c r="I241" s="163"/>
      <c r="J241" s="163"/>
      <c r="K241" s="136"/>
      <c r="L241" s="130" t="s">
        <v>79</v>
      </c>
      <c r="M241" s="164" t="s">
        <v>80</v>
      </c>
      <c r="N241" s="165">
        <f>Invoerensolo!$C$1</f>
        <v>50</v>
      </c>
      <c r="O241" s="166" t="s">
        <v>81</v>
      </c>
      <c r="P241" s="167">
        <f>ROUND(Invoerensolo!$BR$34*Invoerensolo!$C$1/100,4)</f>
        <v>0</v>
      </c>
      <c r="Q241" s="49">
        <f>Invoerensolo!$BT$34</f>
        <v>0</v>
      </c>
    </row>
    <row r="242" spans="2:17" ht="18" customHeight="1">
      <c r="B242" s="135">
        <f>Invoerensolo!$I$34</f>
        <v>0</v>
      </c>
      <c r="C242" s="135">
        <f>Invoerensolo!$G$34</f>
        <v>0</v>
      </c>
      <c r="D242" s="135">
        <f>Invoerensolo!$H$34</f>
        <v>0</v>
      </c>
      <c r="E242" s="126">
        <v>0.4</v>
      </c>
      <c r="F242" s="127"/>
      <c r="G242" s="127"/>
      <c r="H242" s="127"/>
      <c r="I242" s="128"/>
      <c r="J242" s="128"/>
      <c r="K242" s="136"/>
      <c r="L242" s="137" t="s">
        <v>82</v>
      </c>
      <c r="M242" s="138" t="s">
        <v>83</v>
      </c>
      <c r="N242" s="139">
        <f>Invoerensolo!$C$3</f>
        <v>0</v>
      </c>
      <c r="O242" s="140" t="s">
        <v>81</v>
      </c>
      <c r="P242" s="141">
        <f>ROUND(Invoerensolo!$O$34*Invoerensolo!$C$3/100,4)</f>
        <v>0</v>
      </c>
      <c r="Q242" s="7">
        <f>Invoerensolo!$P$34</f>
        <v>1</v>
      </c>
    </row>
    <row r="243" spans="2:17" ht="18" customHeight="1">
      <c r="B243" s="135">
        <f>Invoerensolo!$L$34</f>
        <v>0</v>
      </c>
      <c r="C243" s="135">
        <f>Invoerensolo!$J$34</f>
        <v>0</v>
      </c>
      <c r="D243" s="135">
        <f>Invoerensolo!$K$34</f>
        <v>0</v>
      </c>
      <c r="E243" s="126">
        <v>0.3</v>
      </c>
      <c r="F243" s="127"/>
      <c r="G243" s="127"/>
      <c r="H243" s="127"/>
      <c r="I243" s="128"/>
      <c r="J243" s="128"/>
      <c r="K243" s="136"/>
      <c r="L243" s="137" t="s">
        <v>84</v>
      </c>
      <c r="M243" s="142"/>
      <c r="N243" s="142"/>
      <c r="O243" s="143"/>
      <c r="P243" s="143"/>
      <c r="Q243" s="7"/>
    </row>
    <row r="244" spans="2:17" ht="18" customHeight="1">
      <c r="B244" s="135"/>
      <c r="C244" s="135"/>
      <c r="D244" s="135"/>
      <c r="E244" s="142"/>
      <c r="F244" s="142"/>
      <c r="G244" s="144"/>
      <c r="H244" s="144"/>
      <c r="I244" s="145"/>
      <c r="J244" s="145"/>
      <c r="K244" s="146">
        <f>SUM(K241:K243)</f>
        <v>0</v>
      </c>
      <c r="L244" s="142"/>
      <c r="M244" s="142"/>
      <c r="N244" s="142"/>
      <c r="O244" s="143"/>
      <c r="P244" s="143"/>
      <c r="Q244" s="7"/>
    </row>
    <row r="245" spans="2:17" ht="18" customHeight="1">
      <c r="B245" s="135"/>
      <c r="C245" s="135"/>
      <c r="D245" s="135"/>
      <c r="E245" s="142"/>
      <c r="F245" s="142"/>
      <c r="G245" s="135"/>
      <c r="H245" s="135"/>
      <c r="I245" s="147"/>
      <c r="J245" s="148" t="s">
        <v>85</v>
      </c>
      <c r="K245" s="149"/>
      <c r="L245" s="137" t="s">
        <v>86</v>
      </c>
      <c r="M245" s="142"/>
      <c r="N245" s="142"/>
      <c r="O245" s="143"/>
      <c r="P245" s="143"/>
      <c r="Q245" s="7"/>
    </row>
    <row r="246" spans="2:17" ht="18" customHeight="1">
      <c r="B246" s="135"/>
      <c r="C246" s="150" t="s">
        <v>87</v>
      </c>
      <c r="D246" s="49">
        <f>Invoerensolo!$E$34</f>
        <v>0</v>
      </c>
      <c r="E246" s="151"/>
      <c r="F246" s="142"/>
      <c r="G246" s="135"/>
      <c r="H246" s="135"/>
      <c r="I246" s="147"/>
      <c r="J246" s="106"/>
      <c r="K246" s="152"/>
      <c r="L246" s="142"/>
      <c r="M246" s="148" t="s">
        <v>88</v>
      </c>
      <c r="N246" s="142">
        <f>Invoerensolo!$C$2</f>
        <v>50</v>
      </c>
      <c r="O246" s="153" t="s">
        <v>81</v>
      </c>
      <c r="P246" s="154"/>
      <c r="Q246" s="7">
        <f>Invoerensolo!$R$34</f>
      </c>
    </row>
    <row r="247" spans="2:17" ht="18" customHeight="1">
      <c r="B247" s="135"/>
      <c r="C247" s="150" t="s">
        <v>89</v>
      </c>
      <c r="D247" s="49">
        <f>Invoerensolo!$F$34</f>
        <v>0</v>
      </c>
      <c r="E247" s="151"/>
      <c r="F247" s="142"/>
      <c r="G247" s="135"/>
      <c r="H247" s="135"/>
      <c r="I247" s="155"/>
      <c r="J247" s="106"/>
      <c r="K247" s="152"/>
      <c r="L247" s="142"/>
      <c r="M247" s="156" t="s">
        <v>17</v>
      </c>
      <c r="N247" s="142"/>
      <c r="O247" s="142"/>
      <c r="P247" s="143">
        <f>P241+P242</f>
        <v>0</v>
      </c>
      <c r="Q247" s="157"/>
    </row>
  </sheetData>
  <sheetProtection selectLockedCells="1" selectUnlockedCells="1"/>
  <mergeCells count="2">
    <mergeCell ref="N1:P1"/>
    <mergeCell ref="N2:P2"/>
  </mergeCells>
  <printOptions/>
  <pageMargins left="0.19652777777777777" right="0.19652777777777777" top="0.5902777777777778" bottom="0.5118055555555555" header="0.5118055555555555" footer="0.5118055555555555"/>
  <pageSetup horizontalDpi="300" verticalDpi="300" orientation="portrait" paperSize="9" scale="67" r:id="rId1"/>
  <rowBreaks count="4" manualBreakCount="4">
    <brk id="64" max="255" man="1"/>
    <brk id="120" max="255" man="1"/>
    <brk id="176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P247"/>
  <sheetViews>
    <sheetView showZeros="0"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2.75"/>
  <cols>
    <col min="1" max="1" width="5.75390625" style="142" customWidth="1"/>
    <col min="2" max="2" width="26.25390625" style="142" customWidth="1"/>
    <col min="3" max="3" width="11.875" style="142" customWidth="1"/>
    <col min="4" max="4" width="5.125" style="142" customWidth="1"/>
    <col min="5" max="9" width="5.375" style="142" customWidth="1"/>
    <col min="10" max="10" width="8.75390625" style="143" customWidth="1"/>
    <col min="11" max="11" width="4.125" style="142" customWidth="1"/>
    <col min="12" max="12" width="3.875" style="142" customWidth="1"/>
    <col min="13" max="13" width="4.625" style="142" customWidth="1"/>
    <col min="14" max="14" width="2.75390625" style="143" customWidth="1"/>
    <col min="15" max="15" width="8.625" style="142" customWidth="1"/>
    <col min="16" max="16" width="4.25390625" style="7" customWidth="1"/>
    <col min="17" max="16384" width="9.125" style="142" customWidth="1"/>
  </cols>
  <sheetData>
    <row r="1" spans="1:15" ht="12.75" customHeight="1">
      <c r="A1" s="103" t="str">
        <f>'Startlijst solo'!$B$1</f>
        <v>LSZK-A</v>
      </c>
      <c r="B1" s="96"/>
      <c r="C1" s="96"/>
      <c r="D1" s="96"/>
      <c r="E1" s="96"/>
      <c r="F1" s="96"/>
      <c r="G1" s="96"/>
      <c r="H1" s="96"/>
      <c r="J1" s="369" t="s">
        <v>66</v>
      </c>
      <c r="K1" s="369"/>
      <c r="L1" s="370">
        <f>'Startlijst solo'!N1</f>
        <v>41805</v>
      </c>
      <c r="M1" s="370"/>
      <c r="N1" s="370"/>
      <c r="O1" s="114"/>
    </row>
    <row r="2" spans="1:14" ht="12.75" customHeight="1">
      <c r="A2" s="103" t="str">
        <f>'Startlijst solo'!$B$2</f>
        <v>Organisatie:  SPIO Venray</v>
      </c>
      <c r="B2" s="96"/>
      <c r="C2" s="96"/>
      <c r="D2" s="96"/>
      <c r="E2" s="96"/>
      <c r="F2" s="96"/>
      <c r="G2" s="96"/>
      <c r="H2" s="96"/>
      <c r="J2" s="369" t="s">
        <v>69</v>
      </c>
      <c r="K2" s="369"/>
      <c r="L2" s="371" t="str">
        <f>'Startlijst solo'!N2</f>
        <v>13.30 uur</v>
      </c>
      <c r="M2" s="371"/>
      <c r="N2" s="371"/>
    </row>
    <row r="3" spans="1:9" ht="12.75" customHeight="1">
      <c r="A3" s="168" t="str">
        <f>'Startlijst solo'!B3</f>
        <v>Solo:</v>
      </c>
      <c r="B3" s="168" t="str">
        <f>'Startlijst solo'!C3</f>
        <v>Age I</v>
      </c>
      <c r="C3" s="169"/>
      <c r="D3" s="169"/>
      <c r="E3" s="169"/>
      <c r="F3" s="169"/>
      <c r="G3" s="169"/>
      <c r="H3" s="169"/>
      <c r="I3" s="169"/>
    </row>
    <row r="4" spans="1:16" ht="5.25" customHeight="1">
      <c r="A4" s="109"/>
      <c r="B4" s="109"/>
      <c r="C4" s="170"/>
      <c r="D4" s="109"/>
      <c r="E4" s="109"/>
      <c r="F4" s="109"/>
      <c r="G4" s="109"/>
      <c r="H4" s="109"/>
      <c r="I4" s="109"/>
      <c r="J4" s="171"/>
      <c r="K4" s="109"/>
      <c r="L4" s="109"/>
      <c r="M4" s="109"/>
      <c r="N4" s="171"/>
      <c r="O4" s="109"/>
      <c r="P4" s="172"/>
    </row>
    <row r="5" spans="1:15" ht="12.75">
      <c r="A5" s="114"/>
      <c r="B5" s="173" t="s">
        <v>90</v>
      </c>
      <c r="C5" s="174"/>
      <c r="D5" s="114"/>
      <c r="E5" s="114"/>
      <c r="F5" s="114"/>
      <c r="G5" s="114"/>
      <c r="H5" s="114"/>
      <c r="I5" s="114"/>
      <c r="J5" s="175"/>
      <c r="K5" s="114"/>
      <c r="L5" s="114"/>
      <c r="M5" s="114"/>
      <c r="N5" s="175"/>
      <c r="O5" s="114"/>
    </row>
    <row r="6" spans="1:15" ht="4.5" customHeight="1">
      <c r="A6" s="114"/>
      <c r="B6" s="114"/>
      <c r="C6" s="174"/>
      <c r="D6" s="114"/>
      <c r="E6" s="114"/>
      <c r="F6" s="114"/>
      <c r="G6" s="114"/>
      <c r="H6" s="114"/>
      <c r="I6" s="114"/>
      <c r="J6" s="175"/>
      <c r="K6" s="114"/>
      <c r="L6" s="114"/>
      <c r="M6" s="114"/>
      <c r="N6" s="175"/>
      <c r="O6" s="114"/>
    </row>
    <row r="7" spans="1:16" ht="12.75">
      <c r="A7" s="142" t="s">
        <v>91</v>
      </c>
      <c r="B7" s="176" t="s">
        <v>18</v>
      </c>
      <c r="C7" s="177" t="s">
        <v>75</v>
      </c>
      <c r="D7" s="114"/>
      <c r="E7" s="114"/>
      <c r="F7" s="114"/>
      <c r="G7" s="114"/>
      <c r="H7" s="114"/>
      <c r="I7" s="114"/>
      <c r="J7" s="178"/>
      <c r="K7" s="114"/>
      <c r="L7" s="114"/>
      <c r="M7" s="114"/>
      <c r="N7" s="175"/>
      <c r="O7" s="114"/>
      <c r="P7" s="179" t="s">
        <v>92</v>
      </c>
    </row>
    <row r="8" spans="1:16" ht="12.75">
      <c r="A8" s="142" t="s">
        <v>93</v>
      </c>
      <c r="B8" s="176" t="s">
        <v>77</v>
      </c>
      <c r="C8" s="180" t="s">
        <v>78</v>
      </c>
      <c r="D8" s="119"/>
      <c r="E8" s="181">
        <v>1</v>
      </c>
      <c r="F8" s="181">
        <v>2</v>
      </c>
      <c r="G8" s="181">
        <v>3</v>
      </c>
      <c r="H8" s="181">
        <v>4</v>
      </c>
      <c r="I8" s="181">
        <v>5</v>
      </c>
      <c r="J8" s="154"/>
      <c r="L8" s="119"/>
      <c r="M8" s="119"/>
      <c r="N8" s="154"/>
      <c r="O8" s="119"/>
      <c r="P8" s="182" t="s">
        <v>94</v>
      </c>
    </row>
    <row r="9" spans="1:16" ht="18.75" customHeight="1">
      <c r="A9" s="439">
        <f>Invoerensolo!$B$5</f>
        <v>1</v>
      </c>
      <c r="B9" s="440" t="str">
        <f>Invoerensolo!$D$5</f>
        <v>ZV Brunssum</v>
      </c>
      <c r="C9" s="441" t="str">
        <f>Invoerensolo!M5</f>
        <v>Limburg</v>
      </c>
      <c r="D9" s="442">
        <v>0.3</v>
      </c>
      <c r="E9" s="443">
        <f>Invoerensolo!$X$5</f>
        <v>5.3</v>
      </c>
      <c r="F9" s="443">
        <f>Invoerensolo!$Y$5</f>
        <v>5.5</v>
      </c>
      <c r="G9" s="443">
        <f>Invoerensolo!$Z$5</f>
        <v>5</v>
      </c>
      <c r="H9" s="444">
        <f>Invoerensolo!$AA$5</f>
        <v>5.4</v>
      </c>
      <c r="I9" s="444">
        <f>Invoerensolo!$AB$5</f>
        <v>5.5</v>
      </c>
      <c r="J9" s="445">
        <f>Invoerensolo!$AD$5</f>
        <v>16.2</v>
      </c>
      <c r="K9" s="446" t="s">
        <v>79</v>
      </c>
      <c r="L9" s="447" t="s">
        <v>80</v>
      </c>
      <c r="M9" s="448">
        <f>Invoerensolo!$C$1</f>
        <v>50</v>
      </c>
      <c r="N9" s="449" t="s">
        <v>81</v>
      </c>
      <c r="O9" s="450">
        <f>ROUND(Invoerensolo!$BR$5*Invoerensolo!$C$1/100,4)</f>
        <v>27.1978</v>
      </c>
      <c r="P9" s="451">
        <f>Invoerensolo!$BS$5</f>
        <v>1</v>
      </c>
    </row>
    <row r="10" spans="1:16" ht="18.75" customHeight="1">
      <c r="A10" s="452" t="str">
        <f>Invoerensolo!$I$5</f>
        <v>x</v>
      </c>
      <c r="B10" s="452" t="str">
        <f>Invoerensolo!$G$5</f>
        <v>Rachel Hochstenbach</v>
      </c>
      <c r="C10" s="452">
        <f>Invoerensolo!$H$5</f>
        <v>200202062</v>
      </c>
      <c r="D10" s="442">
        <v>0.4</v>
      </c>
      <c r="E10" s="453">
        <f>Invoerensolo!$AK$5</f>
        <v>5.8</v>
      </c>
      <c r="F10" s="453">
        <f>Invoerensolo!$AL$5</f>
        <v>5.7</v>
      </c>
      <c r="G10" s="453">
        <f>Invoerensolo!$AM$5</f>
        <v>5.6</v>
      </c>
      <c r="H10" s="454">
        <f>Invoerensolo!$AN$5</f>
        <v>5.3</v>
      </c>
      <c r="I10" s="454">
        <f>Invoerensolo!$AO$5</f>
        <v>5.6</v>
      </c>
      <c r="J10" s="455">
        <f>Invoerensolo!$AQ$5</f>
        <v>22.5333</v>
      </c>
      <c r="K10" s="456" t="s">
        <v>82</v>
      </c>
      <c r="L10" s="457" t="s">
        <v>83</v>
      </c>
      <c r="M10" s="458">
        <f>Invoerensolo!$C$3</f>
        <v>0</v>
      </c>
      <c r="N10" s="459" t="s">
        <v>81</v>
      </c>
      <c r="O10" s="460">
        <f>ROUND(Invoerensolo!$O$5*Invoerensolo!$C$3/100,4)</f>
        <v>0</v>
      </c>
      <c r="P10" s="461">
        <f>Invoerensolo!$P$5</f>
      </c>
    </row>
    <row r="11" spans="1:16" ht="18.75" customHeight="1">
      <c r="A11" s="452">
        <f>Invoerensolo!$L$5</f>
        <v>0</v>
      </c>
      <c r="B11" s="452">
        <f>Invoerensolo!$J$5</f>
        <v>0</v>
      </c>
      <c r="C11" s="452">
        <f>Invoerensolo!$K$5</f>
        <v>0</v>
      </c>
      <c r="D11" s="442">
        <v>0.3</v>
      </c>
      <c r="E11" s="453">
        <f>Invoerensolo!$AX$5</f>
        <v>5.3</v>
      </c>
      <c r="F11" s="453">
        <f>Invoerensolo!$AY$5</f>
        <v>5.4</v>
      </c>
      <c r="G11" s="453">
        <f>Invoerensolo!$AZ$5</f>
        <v>5.8</v>
      </c>
      <c r="H11" s="454">
        <f>Invoerensolo!$BA$5</f>
        <v>5.7</v>
      </c>
      <c r="I11" s="454">
        <f>Invoerensolo!$BB$5</f>
        <v>5.6</v>
      </c>
      <c r="J11" s="455">
        <f>Invoerensolo!$BD$5</f>
        <v>16.7</v>
      </c>
      <c r="K11" s="456" t="s">
        <v>84</v>
      </c>
      <c r="L11" s="462"/>
      <c r="M11" s="462"/>
      <c r="N11" s="463"/>
      <c r="O11" s="462"/>
      <c r="P11" s="461"/>
    </row>
    <row r="12" spans="1:16" ht="18.75" customHeight="1">
      <c r="A12" s="452"/>
      <c r="B12" s="452"/>
      <c r="C12" s="452"/>
      <c r="D12" s="462"/>
      <c r="E12" s="462"/>
      <c r="F12" s="464"/>
      <c r="G12" s="464"/>
      <c r="H12" s="465"/>
      <c r="I12" s="465"/>
      <c r="J12" s="466">
        <f>SUM(J9:J11)</f>
        <v>55.4333</v>
      </c>
      <c r="K12" s="462"/>
      <c r="L12" s="462"/>
      <c r="M12" s="462"/>
      <c r="N12" s="463"/>
      <c r="O12" s="462"/>
      <c r="P12" s="461"/>
    </row>
    <row r="13" spans="1:16" ht="18.75" customHeight="1">
      <c r="A13" s="452"/>
      <c r="B13" s="452"/>
      <c r="C13" s="452"/>
      <c r="D13" s="462"/>
      <c r="E13" s="462"/>
      <c r="F13" s="452"/>
      <c r="G13" s="452"/>
      <c r="H13" s="467"/>
      <c r="I13" s="468" t="s">
        <v>85</v>
      </c>
      <c r="J13" s="469">
        <f>Invoerensolo!$BG$5</f>
        <v>0</v>
      </c>
      <c r="K13" s="456" t="s">
        <v>86</v>
      </c>
      <c r="L13" s="462"/>
      <c r="M13" s="462"/>
      <c r="N13" s="463"/>
      <c r="O13" s="462"/>
      <c r="P13" s="461"/>
    </row>
    <row r="14" spans="1:16" ht="18.75" customHeight="1">
      <c r="A14" s="452"/>
      <c r="B14" s="452" t="s">
        <v>19</v>
      </c>
      <c r="C14" s="452" t="str">
        <f>Invoerensolo!$E$5</f>
        <v>Growing up</v>
      </c>
      <c r="D14" s="470"/>
      <c r="E14" s="462"/>
      <c r="F14" s="452"/>
      <c r="G14" s="452"/>
      <c r="H14" s="467"/>
      <c r="I14" s="468" t="s">
        <v>5</v>
      </c>
      <c r="J14" s="471">
        <f>Invoerensolo!$BH$5</f>
        <v>55.4333</v>
      </c>
      <c r="K14" s="462"/>
      <c r="L14" s="462" t="s">
        <v>95</v>
      </c>
      <c r="M14" s="462">
        <f>Invoerensolo!$C$2</f>
        <v>50</v>
      </c>
      <c r="N14" s="472" t="s">
        <v>81</v>
      </c>
      <c r="O14" s="473">
        <f>Invoerensolo!$BJ$5</f>
        <v>27.7167</v>
      </c>
      <c r="P14" s="461">
        <f>Invoerensolo!$R$5</f>
        <v>1</v>
      </c>
    </row>
    <row r="15" spans="1:16" ht="18.75" customHeight="1">
      <c r="A15" s="452"/>
      <c r="B15" s="452" t="s">
        <v>20</v>
      </c>
      <c r="C15" s="452" t="str">
        <f>Invoerensolo!$F$5</f>
        <v>ZVB</v>
      </c>
      <c r="D15" s="470"/>
      <c r="E15" s="462"/>
      <c r="F15" s="452"/>
      <c r="G15" s="452"/>
      <c r="H15" s="474"/>
      <c r="I15" s="462"/>
      <c r="J15" s="471"/>
      <c r="K15" s="462"/>
      <c r="L15" s="475" t="s">
        <v>17</v>
      </c>
      <c r="M15" s="462"/>
      <c r="N15" s="462"/>
      <c r="O15" s="463">
        <f>Invoerensolo!$C$5</f>
        <v>54.914500000000004</v>
      </c>
      <c r="P15" s="476"/>
    </row>
    <row r="16" spans="1:11" ht="18.75" customHeight="1">
      <c r="A16" s="135"/>
      <c r="B16" s="135"/>
      <c r="C16" s="135"/>
      <c r="F16" s="135"/>
      <c r="G16" s="135"/>
      <c r="H16" s="147"/>
      <c r="I16" s="156"/>
      <c r="J16" s="152"/>
      <c r="K16" s="189"/>
    </row>
    <row r="17" spans="1:16" ht="18.75" customHeight="1">
      <c r="A17" s="155">
        <f>Invoerensolo!$B$6</f>
        <v>2</v>
      </c>
      <c r="B17" s="161" t="str">
        <f>Invoerensolo!$D$6</f>
        <v>SPIO Venray</v>
      </c>
      <c r="C17" s="125">
        <f>Invoerensolo!M13</f>
        <v>0</v>
      </c>
      <c r="D17" s="126">
        <v>0.3</v>
      </c>
      <c r="E17" s="162">
        <f>Invoerensolo!$X$6</f>
        <v>4.9</v>
      </c>
      <c r="F17" s="162">
        <f>Invoerensolo!$Y$6</f>
        <v>5.1</v>
      </c>
      <c r="G17" s="162">
        <f>Invoerensolo!$Z$6</f>
        <v>4.5</v>
      </c>
      <c r="H17" s="163">
        <f>Invoerensolo!$AA$6</f>
        <v>4.9</v>
      </c>
      <c r="I17" s="163">
        <f>Invoerensolo!$AB$6</f>
        <v>4.8</v>
      </c>
      <c r="J17" s="136">
        <f>Invoerensolo!$AD$6</f>
        <v>14.6</v>
      </c>
      <c r="K17" s="130" t="s">
        <v>79</v>
      </c>
      <c r="L17" s="164" t="s">
        <v>80</v>
      </c>
      <c r="M17" s="165">
        <f>Invoerensolo!$C$1</f>
        <v>50</v>
      </c>
      <c r="N17" s="166" t="s">
        <v>81</v>
      </c>
      <c r="O17" s="167">
        <f>ROUND(Invoerensolo!$BR$6*Invoerensolo!$C$1/100,4)</f>
        <v>23.58</v>
      </c>
      <c r="P17" s="49">
        <f>Invoerensolo!$BS$6</f>
        <v>2</v>
      </c>
    </row>
    <row r="18" spans="1:16" ht="18.75" customHeight="1">
      <c r="A18" s="135" t="str">
        <f>Invoerensolo!$I$6</f>
        <v>X</v>
      </c>
      <c r="B18" s="135" t="str">
        <f>Invoerensolo!$G$6</f>
        <v>Vera Andriessen</v>
      </c>
      <c r="C18" s="135">
        <f>Invoerensolo!$H$6</f>
        <v>200200444</v>
      </c>
      <c r="D18" s="126">
        <v>0.4</v>
      </c>
      <c r="E18" s="127">
        <f>Invoerensolo!$AK$6</f>
        <v>5.2</v>
      </c>
      <c r="F18" s="127">
        <f>Invoerensolo!$AL$6</f>
        <v>4.8</v>
      </c>
      <c r="G18" s="127">
        <f>Invoerensolo!$AM$6</f>
        <v>5.2</v>
      </c>
      <c r="H18" s="128">
        <f>Invoerensolo!$AN$6</f>
        <v>4.8</v>
      </c>
      <c r="I18" s="128">
        <f>Invoerensolo!$AO$6</f>
        <v>5.2</v>
      </c>
      <c r="J18" s="136">
        <f>Invoerensolo!$AQ$6</f>
        <v>20.2667</v>
      </c>
      <c r="K18" s="137" t="s">
        <v>82</v>
      </c>
      <c r="L18" s="138" t="s">
        <v>83</v>
      </c>
      <c r="M18" s="139">
        <f>Invoerensolo!$C$3</f>
        <v>0</v>
      </c>
      <c r="N18" s="140" t="s">
        <v>81</v>
      </c>
      <c r="O18" s="141">
        <f>ROUND(Invoerensolo!$O$6*Invoerensolo!$C$3/100,4)</f>
        <v>0</v>
      </c>
      <c r="P18" s="7">
        <f>Invoerensolo!$P$6</f>
      </c>
    </row>
    <row r="19" spans="1:11" ht="18.75" customHeight="1">
      <c r="A19" s="135">
        <f>Invoerensolo!$L$6</f>
        <v>0</v>
      </c>
      <c r="B19" s="135">
        <f>Invoerensolo!$J$6</f>
        <v>0</v>
      </c>
      <c r="C19" s="135">
        <f>Invoerensolo!$K$6</f>
        <v>0</v>
      </c>
      <c r="D19" s="126">
        <v>0.3</v>
      </c>
      <c r="E19" s="127">
        <f>Invoerensolo!$AX$6</f>
        <v>4.9</v>
      </c>
      <c r="F19" s="127">
        <f>Invoerensolo!$AY$6</f>
        <v>5.1</v>
      </c>
      <c r="G19" s="127">
        <f>Invoerensolo!$AZ$6</f>
        <v>4.7</v>
      </c>
      <c r="H19" s="128">
        <f>Invoerensolo!$BA$6</f>
        <v>4.8</v>
      </c>
      <c r="I19" s="128">
        <f>Invoerensolo!$BB$6</f>
        <v>5.1</v>
      </c>
      <c r="J19" s="136">
        <f>Invoerensolo!$BD$6</f>
        <v>14.8</v>
      </c>
      <c r="K19" s="137" t="s">
        <v>84</v>
      </c>
    </row>
    <row r="20" spans="1:10" ht="18.75" customHeight="1">
      <c r="A20" s="135"/>
      <c r="B20" s="135"/>
      <c r="C20" s="135"/>
      <c r="F20" s="144"/>
      <c r="G20" s="144"/>
      <c r="H20" s="145"/>
      <c r="I20" s="145"/>
      <c r="J20" s="146">
        <f>SUM(J17:J19)</f>
        <v>49.666700000000006</v>
      </c>
    </row>
    <row r="21" spans="1:11" ht="18.75" customHeight="1">
      <c r="A21" s="135"/>
      <c r="B21" s="135"/>
      <c r="C21" s="135"/>
      <c r="F21" s="135"/>
      <c r="G21" s="135"/>
      <c r="H21" s="147"/>
      <c r="I21" s="148" t="s">
        <v>85</v>
      </c>
      <c r="J21" s="149">
        <f>Invoerensolo!$BG$6</f>
        <v>0</v>
      </c>
      <c r="K21" s="137" t="s">
        <v>86</v>
      </c>
    </row>
    <row r="22" spans="1:16" ht="18.75" customHeight="1">
      <c r="A22" s="135"/>
      <c r="B22" s="135" t="s">
        <v>19</v>
      </c>
      <c r="C22" s="135" t="str">
        <f>Invoerensolo!$E$6</f>
        <v>Helele</v>
      </c>
      <c r="D22" s="96"/>
      <c r="F22" s="135"/>
      <c r="G22" s="135"/>
      <c r="H22" s="147"/>
      <c r="I22" s="148" t="s">
        <v>5</v>
      </c>
      <c r="J22" s="152">
        <f>Invoerensolo!$BH$6</f>
        <v>49.666700000000006</v>
      </c>
      <c r="L22" s="142" t="s">
        <v>95</v>
      </c>
      <c r="M22" s="142">
        <f>Invoerensolo!$C$2</f>
        <v>50</v>
      </c>
      <c r="N22" s="153" t="s">
        <v>81</v>
      </c>
      <c r="O22" s="154">
        <f>Invoerensolo!$BJ$6</f>
        <v>24.8334</v>
      </c>
      <c r="P22" s="7">
        <f>Invoerensolo!$R$6</f>
        <v>3</v>
      </c>
    </row>
    <row r="23" spans="1:16" ht="18.75" customHeight="1">
      <c r="A23" s="135"/>
      <c r="B23" s="135" t="s">
        <v>20</v>
      </c>
      <c r="C23" s="135" t="str">
        <f>Invoerensolo!$F$6</f>
        <v>Spio Synchro</v>
      </c>
      <c r="D23" s="96"/>
      <c r="F23" s="135"/>
      <c r="G23" s="135"/>
      <c r="H23" s="155"/>
      <c r="J23" s="152"/>
      <c r="L23" s="156" t="s">
        <v>17</v>
      </c>
      <c r="N23" s="142"/>
      <c r="O23" s="143">
        <f>Invoerensolo!$C$6</f>
        <v>48.413399999999996</v>
      </c>
      <c r="P23" s="157"/>
    </row>
    <row r="24" spans="1:10" ht="18.75" customHeight="1">
      <c r="A24" s="135"/>
      <c r="B24" s="135"/>
      <c r="C24" s="135"/>
      <c r="F24" s="135"/>
      <c r="G24" s="135"/>
      <c r="H24" s="147"/>
      <c r="I24" s="156"/>
      <c r="J24" s="152"/>
    </row>
    <row r="25" spans="1:16" ht="18.75" customHeight="1">
      <c r="A25" s="155">
        <f>Invoerensolo!$B$7</f>
        <v>3</v>
      </c>
      <c r="B25" s="161" t="str">
        <f>Invoerensolo!$D$7</f>
        <v>ZC Eijsden</v>
      </c>
      <c r="C25" s="125">
        <f>Invoerensolo!M21</f>
        <v>0</v>
      </c>
      <c r="D25" s="126">
        <v>0.3</v>
      </c>
      <c r="E25" s="162">
        <f>Invoerensolo!$X$7</f>
        <v>4.8</v>
      </c>
      <c r="F25" s="162">
        <f>Invoerensolo!$Y$7</f>
        <v>4.9</v>
      </c>
      <c r="G25" s="162">
        <f>Invoerensolo!$Z$7</f>
        <v>4.7</v>
      </c>
      <c r="H25" s="163">
        <f>Invoerensolo!$AA$7</f>
        <v>5</v>
      </c>
      <c r="I25" s="163">
        <f>Invoerensolo!$AB$7</f>
        <v>5.1</v>
      </c>
      <c r="J25" s="136">
        <f>Invoerensolo!$AD$7</f>
        <v>14.7</v>
      </c>
      <c r="K25" s="130" t="s">
        <v>79</v>
      </c>
      <c r="L25" s="164" t="s">
        <v>80</v>
      </c>
      <c r="M25" s="165">
        <f>Invoerensolo!$C$1</f>
        <v>50</v>
      </c>
      <c r="N25" s="166" t="s">
        <v>81</v>
      </c>
      <c r="O25" s="167">
        <f>ROUND(Invoerensolo!$BR$7*Invoerensolo!$C$1/100,4)</f>
        <v>22.8222</v>
      </c>
      <c r="P25" s="49">
        <f>Invoerensolo!$BS$7</f>
        <v>3</v>
      </c>
    </row>
    <row r="26" spans="1:16" ht="18.75" customHeight="1">
      <c r="A26" s="135" t="str">
        <f>Invoerensolo!$I$7</f>
        <v>X</v>
      </c>
      <c r="B26" s="135" t="str">
        <f>Invoerensolo!$G$7</f>
        <v>Anne Willems</v>
      </c>
      <c r="C26" s="135">
        <f>Invoerensolo!$H$7</f>
        <v>200300796</v>
      </c>
      <c r="D26" s="126">
        <v>0.4</v>
      </c>
      <c r="E26" s="127">
        <f>Invoerensolo!$AK$7</f>
        <v>5.6</v>
      </c>
      <c r="F26" s="127">
        <f>Invoerensolo!$AL$7</f>
        <v>4.9</v>
      </c>
      <c r="G26" s="127">
        <f>Invoerensolo!$AM$7</f>
        <v>5.3</v>
      </c>
      <c r="H26" s="128">
        <f>Invoerensolo!$AN$7</f>
        <v>5</v>
      </c>
      <c r="I26" s="128">
        <f>Invoerensolo!$AO$7</f>
        <v>5.3</v>
      </c>
      <c r="J26" s="136">
        <f>Invoerensolo!$AQ$7</f>
        <v>20.8</v>
      </c>
      <c r="K26" s="137" t="s">
        <v>82</v>
      </c>
      <c r="L26" s="138" t="s">
        <v>83</v>
      </c>
      <c r="M26" s="139">
        <f>Invoerensolo!$C$3</f>
        <v>0</v>
      </c>
      <c r="N26" s="140" t="s">
        <v>81</v>
      </c>
      <c r="O26" s="141">
        <f>ROUND(Invoerensolo!$O$7*Invoerensolo!$C$3/100,4)</f>
        <v>0</v>
      </c>
      <c r="P26" s="7">
        <f>Invoerensolo!$P$7</f>
      </c>
    </row>
    <row r="27" spans="1:11" ht="18.75" customHeight="1">
      <c r="A27" s="135">
        <f>Invoerensolo!$L$7</f>
        <v>0</v>
      </c>
      <c r="B27" s="135">
        <f>Invoerensolo!$J$7</f>
        <v>0</v>
      </c>
      <c r="C27" s="135">
        <f>Invoerensolo!$K$7</f>
        <v>0</v>
      </c>
      <c r="D27" s="126">
        <v>0.3</v>
      </c>
      <c r="E27" s="127">
        <f>Invoerensolo!$AX$7</f>
        <v>5</v>
      </c>
      <c r="F27" s="127">
        <f>Invoerensolo!$AY$7</f>
        <v>5</v>
      </c>
      <c r="G27" s="127">
        <f>Invoerensolo!$AZ$7</f>
        <v>4.3</v>
      </c>
      <c r="H27" s="128">
        <f>Invoerensolo!$BA$7</f>
        <v>5.2</v>
      </c>
      <c r="I27" s="128">
        <f>Invoerensolo!$BB$7</f>
        <v>5.1</v>
      </c>
      <c r="J27" s="136">
        <f>Invoerensolo!$BD$7</f>
        <v>15.1</v>
      </c>
      <c r="K27" s="137" t="s">
        <v>84</v>
      </c>
    </row>
    <row r="28" spans="1:10" ht="18.75" customHeight="1">
      <c r="A28" s="135"/>
      <c r="B28" s="135"/>
      <c r="C28" s="135"/>
      <c r="F28" s="144"/>
      <c r="G28" s="144"/>
      <c r="H28" s="145"/>
      <c r="I28" s="145"/>
      <c r="J28" s="146">
        <f>SUM(J25:J27)</f>
        <v>50.6</v>
      </c>
    </row>
    <row r="29" spans="1:11" ht="18.75" customHeight="1">
      <c r="A29" s="135"/>
      <c r="B29" s="135"/>
      <c r="C29" s="135"/>
      <c r="F29" s="135"/>
      <c r="G29" s="135"/>
      <c r="H29" s="147"/>
      <c r="I29" s="148" t="s">
        <v>85</v>
      </c>
      <c r="J29" s="149">
        <f>Invoerensolo!$BG$7</f>
        <v>0</v>
      </c>
      <c r="K29" s="137" t="s">
        <v>86</v>
      </c>
    </row>
    <row r="30" spans="1:16" ht="18.75" customHeight="1">
      <c r="A30" s="135"/>
      <c r="B30" s="135" t="s">
        <v>19</v>
      </c>
      <c r="C30" s="135" t="str">
        <f>Invoerensolo!$E$7</f>
        <v>Hasta Que Salga el Sol</v>
      </c>
      <c r="D30" s="96"/>
      <c r="F30" s="135"/>
      <c r="G30" s="135"/>
      <c r="H30" s="147"/>
      <c r="I30" s="148" t="s">
        <v>5</v>
      </c>
      <c r="J30" s="152">
        <f>Invoerensolo!$BH$7</f>
        <v>50.6</v>
      </c>
      <c r="L30" s="142" t="s">
        <v>95</v>
      </c>
      <c r="M30" s="142">
        <f>Invoerensolo!$C$2</f>
        <v>50</v>
      </c>
      <c r="N30" s="153" t="s">
        <v>81</v>
      </c>
      <c r="O30" s="154">
        <f>Invoerensolo!$BJ$7</f>
        <v>25.3</v>
      </c>
      <c r="P30" s="7">
        <f>Invoerensolo!$R$7</f>
        <v>2</v>
      </c>
    </row>
    <row r="31" spans="1:16" ht="18.75" customHeight="1">
      <c r="A31" s="135"/>
      <c r="B31" s="135" t="s">
        <v>20</v>
      </c>
      <c r="C31" s="135" t="str">
        <f>Invoerensolo!$F$7</f>
        <v>Evelien Wolfs</v>
      </c>
      <c r="D31" s="96"/>
      <c r="F31" s="135"/>
      <c r="G31" s="135"/>
      <c r="H31" s="155"/>
      <c r="J31" s="152"/>
      <c r="L31" s="156" t="s">
        <v>17</v>
      </c>
      <c r="N31" s="142"/>
      <c r="O31" s="143">
        <f>Invoerensolo!$C$7</f>
        <v>48.1222</v>
      </c>
      <c r="P31" s="157"/>
    </row>
    <row r="32" spans="1:10" ht="18.75" customHeight="1">
      <c r="A32" s="135"/>
      <c r="B32" s="135"/>
      <c r="C32" s="135"/>
      <c r="F32" s="135"/>
      <c r="G32" s="135"/>
      <c r="H32" s="147"/>
      <c r="I32" s="156"/>
      <c r="J32" s="152"/>
    </row>
    <row r="33" spans="1:16" ht="18.75" customHeight="1">
      <c r="A33" s="155">
        <f>Invoerensolo!$B$8</f>
        <v>4</v>
      </c>
      <c r="B33" s="161">
        <f>Invoerensolo!$D$8</f>
        <v>0</v>
      </c>
      <c r="C33" s="125">
        <f>Invoerensolo!M29</f>
        <v>0</v>
      </c>
      <c r="D33" s="126">
        <v>0.3</v>
      </c>
      <c r="E33" s="162">
        <f>Invoerensolo!$X$8</f>
        <v>0</v>
      </c>
      <c r="F33" s="162">
        <f>Invoerensolo!$Y$8</f>
        <v>0</v>
      </c>
      <c r="G33" s="162">
        <f>Invoerensolo!$Z$8</f>
        <v>0</v>
      </c>
      <c r="H33" s="163">
        <f>Invoerensolo!$AA$8</f>
        <v>0</v>
      </c>
      <c r="I33" s="163">
        <f>Invoerensolo!$AB$8</f>
        <v>0</v>
      </c>
      <c r="J33" s="136">
        <f>Invoerensolo!$AD$8</f>
        <v>0</v>
      </c>
      <c r="K33" s="130" t="s">
        <v>79</v>
      </c>
      <c r="L33" s="164" t="s">
        <v>80</v>
      </c>
      <c r="M33" s="165">
        <f>Invoerensolo!$C$1</f>
        <v>50</v>
      </c>
      <c r="N33" s="166" t="s">
        <v>81</v>
      </c>
      <c r="O33" s="167">
        <f>ROUND(Invoerensolo!$BR$8*Invoerensolo!$C$1/100,4)</f>
        <v>0</v>
      </c>
      <c r="P33" s="49">
        <f>Invoerensolo!$BS$8</f>
      </c>
    </row>
    <row r="34" spans="1:16" ht="18.75" customHeight="1">
      <c r="A34" s="135">
        <f>Invoerensolo!$I$8</f>
        <v>0</v>
      </c>
      <c r="B34" s="135">
        <f>Invoerensolo!$G$8</f>
        <v>0</v>
      </c>
      <c r="C34" s="135">
        <f>Invoerensolo!$H$8</f>
        <v>0</v>
      </c>
      <c r="D34" s="126">
        <v>0.4</v>
      </c>
      <c r="E34" s="127">
        <f>Invoerensolo!$AK$8</f>
        <v>0</v>
      </c>
      <c r="F34" s="127">
        <f>Invoerensolo!$AL$8</f>
        <v>0</v>
      </c>
      <c r="G34" s="127">
        <f>Invoerensolo!$AM$8</f>
        <v>0</v>
      </c>
      <c r="H34" s="128">
        <f>Invoerensolo!$AN$8</f>
        <v>0</v>
      </c>
      <c r="I34" s="128">
        <f>Invoerensolo!$AO$8</f>
        <v>0</v>
      </c>
      <c r="J34" s="136">
        <f>Invoerensolo!$AQ$8</f>
        <v>0</v>
      </c>
      <c r="K34" s="137" t="s">
        <v>82</v>
      </c>
      <c r="L34" s="138" t="s">
        <v>83</v>
      </c>
      <c r="M34" s="139">
        <f>Invoerensolo!$C$3</f>
        <v>0</v>
      </c>
      <c r="N34" s="140" t="s">
        <v>81</v>
      </c>
      <c r="O34" s="141">
        <f>ROUND(Invoerensolo!$O$8*Invoerensolo!$C$3/100,4)</f>
        <v>0</v>
      </c>
      <c r="P34" s="7">
        <f>Invoerensolo!$P$8</f>
      </c>
    </row>
    <row r="35" spans="1:11" ht="18.75" customHeight="1">
      <c r="A35" s="135">
        <f>Invoerensolo!$L$8</f>
        <v>0</v>
      </c>
      <c r="B35" s="135">
        <f>Invoerensolo!$J$8</f>
        <v>0</v>
      </c>
      <c r="C35" s="135">
        <f>Invoerensolo!$K$8</f>
        <v>0</v>
      </c>
      <c r="D35" s="126">
        <v>0.3</v>
      </c>
      <c r="E35" s="127">
        <f>Invoerensolo!$AX$8</f>
        <v>0</v>
      </c>
      <c r="F35" s="127">
        <f>Invoerensolo!$AY$8</f>
        <v>0</v>
      </c>
      <c r="G35" s="127">
        <f>Invoerensolo!$AZ$8</f>
        <v>0</v>
      </c>
      <c r="H35" s="128">
        <f>Invoerensolo!$BA$8</f>
        <v>0</v>
      </c>
      <c r="I35" s="128">
        <f>Invoerensolo!$BB$8</f>
        <v>0</v>
      </c>
      <c r="J35" s="136">
        <f>Invoerensolo!$BD$8</f>
        <v>0</v>
      </c>
      <c r="K35" s="137" t="s">
        <v>84</v>
      </c>
    </row>
    <row r="36" spans="1:10" ht="18.75" customHeight="1">
      <c r="A36" s="135"/>
      <c r="B36" s="135"/>
      <c r="C36" s="135"/>
      <c r="F36" s="144"/>
      <c r="G36" s="144"/>
      <c r="H36" s="145"/>
      <c r="I36" s="145"/>
      <c r="J36" s="146">
        <f>SUM(J33:J35)</f>
        <v>0</v>
      </c>
    </row>
    <row r="37" spans="1:11" ht="18.75" customHeight="1">
      <c r="A37" s="135"/>
      <c r="B37" s="135"/>
      <c r="C37" s="135"/>
      <c r="F37" s="135"/>
      <c r="G37" s="135"/>
      <c r="H37" s="147"/>
      <c r="I37" s="148" t="s">
        <v>85</v>
      </c>
      <c r="J37" s="149">
        <f>Invoerensolo!$BG$8</f>
        <v>0</v>
      </c>
      <c r="K37" s="137" t="s">
        <v>86</v>
      </c>
    </row>
    <row r="38" spans="1:16" ht="18.75" customHeight="1">
      <c r="A38" s="135"/>
      <c r="B38" s="135" t="s">
        <v>19</v>
      </c>
      <c r="C38" s="135">
        <f>Invoerensolo!$E$8</f>
        <v>0</v>
      </c>
      <c r="D38" s="96"/>
      <c r="F38" s="135"/>
      <c r="G38" s="135"/>
      <c r="H38" s="147"/>
      <c r="I38" s="148" t="s">
        <v>5</v>
      </c>
      <c r="J38" s="152">
        <f>Invoerensolo!$BH$8</f>
        <v>0</v>
      </c>
      <c r="L38" s="142" t="s">
        <v>95</v>
      </c>
      <c r="M38" s="142">
        <f>Invoerensolo!$C$2</f>
        <v>50</v>
      </c>
      <c r="N38" s="153" t="s">
        <v>81</v>
      </c>
      <c r="O38" s="154">
        <f>Invoerensolo!$BJ$8</f>
        <v>0</v>
      </c>
      <c r="P38" s="7">
        <f>Invoerensolo!$R$8</f>
      </c>
    </row>
    <row r="39" spans="1:16" ht="18.75" customHeight="1">
      <c r="A39" s="135"/>
      <c r="B39" s="135" t="s">
        <v>20</v>
      </c>
      <c r="C39" s="135">
        <f>Invoerensolo!$F$8</f>
        <v>0</v>
      </c>
      <c r="D39" s="96"/>
      <c r="F39" s="135"/>
      <c r="G39" s="135"/>
      <c r="H39" s="155"/>
      <c r="J39" s="152"/>
      <c r="L39" s="156" t="s">
        <v>17</v>
      </c>
      <c r="N39" s="142"/>
      <c r="O39" s="143">
        <f>Invoerensolo!$C$8</f>
        <v>0</v>
      </c>
      <c r="P39" s="157"/>
    </row>
    <row r="40" spans="1:10" ht="18.75" customHeight="1">
      <c r="A40" s="135"/>
      <c r="B40" s="135"/>
      <c r="C40" s="135"/>
      <c r="F40" s="135"/>
      <c r="G40" s="135"/>
      <c r="H40" s="147"/>
      <c r="I40" s="156"/>
      <c r="J40" s="152"/>
    </row>
    <row r="41" spans="1:16" ht="18.75" customHeight="1">
      <c r="A41" s="155">
        <f>Invoerensolo!$B$9</f>
        <v>4</v>
      </c>
      <c r="B41" s="161">
        <f>Invoerensolo!$D$9</f>
        <v>0</v>
      </c>
      <c r="C41" s="125">
        <f>Invoerensolo!M37</f>
        <v>0</v>
      </c>
      <c r="D41" s="126">
        <v>0.3</v>
      </c>
      <c r="E41" s="162">
        <f>Invoerensolo!$X$9</f>
        <v>0</v>
      </c>
      <c r="F41" s="162">
        <f>Invoerensolo!$Y$9</f>
        <v>0</v>
      </c>
      <c r="G41" s="162">
        <f>Invoerensolo!$Z$9</f>
        <v>0</v>
      </c>
      <c r="H41" s="163">
        <f>Invoerensolo!$AA$9</f>
        <v>0</v>
      </c>
      <c r="I41" s="163">
        <f>Invoerensolo!$AB$9</f>
        <v>0</v>
      </c>
      <c r="J41" s="136">
        <f>Invoerensolo!$AD$9</f>
        <v>0</v>
      </c>
      <c r="K41" s="130" t="s">
        <v>79</v>
      </c>
      <c r="L41" s="164" t="s">
        <v>80</v>
      </c>
      <c r="M41" s="165">
        <f>Invoerensolo!$C$1</f>
        <v>50</v>
      </c>
      <c r="N41" s="166" t="s">
        <v>81</v>
      </c>
      <c r="O41" s="167">
        <f>ROUND(Invoerensolo!$BR$9*Invoerensolo!$C$1/100,4)</f>
        <v>0</v>
      </c>
      <c r="P41" s="49">
        <f>Invoerensolo!$BS$9</f>
      </c>
    </row>
    <row r="42" spans="1:16" ht="18.75" customHeight="1">
      <c r="A42" s="135">
        <f>Invoerensolo!$I$9</f>
        <v>0</v>
      </c>
      <c r="B42" s="135">
        <f>Invoerensolo!$G$9</f>
        <v>0</v>
      </c>
      <c r="C42" s="135">
        <f>Invoerensolo!$H$9</f>
        <v>0</v>
      </c>
      <c r="D42" s="126">
        <v>0.4</v>
      </c>
      <c r="E42" s="127">
        <f>Invoerensolo!$AK$9</f>
        <v>0</v>
      </c>
      <c r="F42" s="127">
        <f>Invoerensolo!$AL$9</f>
        <v>0</v>
      </c>
      <c r="G42" s="127">
        <f>Invoerensolo!$AM$9</f>
        <v>0</v>
      </c>
      <c r="H42" s="128">
        <f>Invoerensolo!$AN$9</f>
        <v>0</v>
      </c>
      <c r="I42" s="128">
        <f>Invoerensolo!$AO$9</f>
        <v>0</v>
      </c>
      <c r="J42" s="136">
        <f>Invoerensolo!$AQ$9</f>
        <v>0</v>
      </c>
      <c r="K42" s="137" t="s">
        <v>82</v>
      </c>
      <c r="L42" s="138" t="s">
        <v>83</v>
      </c>
      <c r="M42" s="139">
        <f>Invoerensolo!$C$3</f>
        <v>0</v>
      </c>
      <c r="N42" s="140" t="s">
        <v>81</v>
      </c>
      <c r="O42" s="141">
        <f>ROUND(Invoerensolo!$O$9*Invoerensolo!$C$3/100,4)</f>
        <v>0</v>
      </c>
      <c r="P42" s="7">
        <f>Invoerensolo!$P$9</f>
      </c>
    </row>
    <row r="43" spans="1:11" ht="18.75" customHeight="1">
      <c r="A43" s="135">
        <f>Invoerensolo!$L$9</f>
        <v>0</v>
      </c>
      <c r="B43" s="135">
        <f>Invoerensolo!$J$9</f>
        <v>0</v>
      </c>
      <c r="C43" s="135">
        <f>Invoerensolo!$K$9</f>
        <v>0</v>
      </c>
      <c r="D43" s="126">
        <v>0.3</v>
      </c>
      <c r="E43" s="127">
        <f>Invoerensolo!$AX$9</f>
        <v>0</v>
      </c>
      <c r="F43" s="127">
        <f>Invoerensolo!$AY$9</f>
        <v>0</v>
      </c>
      <c r="G43" s="127">
        <f>Invoerensolo!$AZ$9</f>
        <v>0</v>
      </c>
      <c r="H43" s="128">
        <f>Invoerensolo!$BA$9</f>
        <v>0</v>
      </c>
      <c r="I43" s="128">
        <f>Invoerensolo!$BB$9</f>
        <v>0</v>
      </c>
      <c r="J43" s="136">
        <f>Invoerensolo!$BD$9</f>
        <v>0</v>
      </c>
      <c r="K43" s="137" t="s">
        <v>84</v>
      </c>
    </row>
    <row r="44" spans="1:10" ht="18.75" customHeight="1">
      <c r="A44" s="135"/>
      <c r="B44" s="135"/>
      <c r="C44" s="135"/>
      <c r="F44" s="144"/>
      <c r="G44" s="144"/>
      <c r="H44" s="145"/>
      <c r="I44" s="145"/>
      <c r="J44" s="146">
        <f>SUM(J41:J43)</f>
        <v>0</v>
      </c>
    </row>
    <row r="45" spans="1:11" ht="18.75" customHeight="1">
      <c r="A45" s="135"/>
      <c r="B45" s="135"/>
      <c r="C45" s="135"/>
      <c r="F45" s="135"/>
      <c r="G45" s="135"/>
      <c r="H45" s="147"/>
      <c r="I45" s="148" t="s">
        <v>85</v>
      </c>
      <c r="J45" s="149">
        <f>Invoerensolo!$BG$9</f>
        <v>0</v>
      </c>
      <c r="K45" s="137" t="s">
        <v>86</v>
      </c>
    </row>
    <row r="46" spans="1:16" ht="18.75" customHeight="1">
      <c r="A46" s="135"/>
      <c r="B46" s="135" t="s">
        <v>19</v>
      </c>
      <c r="C46" s="135">
        <f>Invoerensolo!$E$9</f>
        <v>0</v>
      </c>
      <c r="D46" s="96"/>
      <c r="F46" s="135"/>
      <c r="G46" s="135"/>
      <c r="H46" s="147"/>
      <c r="I46" s="148" t="s">
        <v>5</v>
      </c>
      <c r="J46" s="152">
        <f>Invoerensolo!$BH$9</f>
        <v>0</v>
      </c>
      <c r="L46" s="142" t="s">
        <v>95</v>
      </c>
      <c r="M46" s="142">
        <f>Invoerensolo!$C$2</f>
        <v>50</v>
      </c>
      <c r="N46" s="153" t="s">
        <v>81</v>
      </c>
      <c r="O46" s="154">
        <f>Invoerensolo!$BJ$9</f>
        <v>0</v>
      </c>
      <c r="P46" s="7">
        <f>Invoerensolo!$R$9</f>
      </c>
    </row>
    <row r="47" spans="1:16" ht="18.75" customHeight="1">
      <c r="A47" s="135"/>
      <c r="B47" s="135" t="s">
        <v>20</v>
      </c>
      <c r="C47" s="135">
        <f>Invoerensolo!$F$9</f>
        <v>0</v>
      </c>
      <c r="D47" s="96"/>
      <c r="F47" s="135"/>
      <c r="G47" s="135"/>
      <c r="H47" s="155"/>
      <c r="J47" s="152"/>
      <c r="L47" s="156" t="s">
        <v>17</v>
      </c>
      <c r="N47" s="142"/>
      <c r="O47" s="143">
        <f>Invoerensolo!$C$9</f>
        <v>0</v>
      </c>
      <c r="P47" s="157"/>
    </row>
    <row r="48" spans="1:10" ht="18.75" customHeight="1">
      <c r="A48" s="135"/>
      <c r="B48" s="135"/>
      <c r="C48" s="135"/>
      <c r="F48" s="135"/>
      <c r="G48" s="135"/>
      <c r="H48" s="147"/>
      <c r="I48" s="156"/>
      <c r="J48" s="152"/>
    </row>
    <row r="49" spans="1:16" ht="18.75" customHeight="1">
      <c r="A49" s="155">
        <f>Invoerensolo!$B$10</f>
        <v>4</v>
      </c>
      <c r="B49" s="161">
        <f>Invoerensolo!$D$10</f>
        <v>0</v>
      </c>
      <c r="C49" s="125">
        <f>Invoerensolo!M45</f>
        <v>0</v>
      </c>
      <c r="D49" s="126">
        <v>0.3</v>
      </c>
      <c r="E49" s="162">
        <f>Invoerensolo!$X$10</f>
        <v>0</v>
      </c>
      <c r="F49" s="162">
        <f>Invoerensolo!$Y$10</f>
        <v>0</v>
      </c>
      <c r="G49" s="162">
        <f>Invoerensolo!$Z$10</f>
        <v>0</v>
      </c>
      <c r="H49" s="163">
        <f>Invoerensolo!$AA$10</f>
        <v>0</v>
      </c>
      <c r="I49" s="163">
        <f>Invoerensolo!$AB$10</f>
        <v>0</v>
      </c>
      <c r="J49" s="136">
        <f>Invoerensolo!$AD$10</f>
        <v>0</v>
      </c>
      <c r="K49" s="130" t="s">
        <v>79</v>
      </c>
      <c r="L49" s="164" t="s">
        <v>80</v>
      </c>
      <c r="M49" s="165">
        <f>Invoerensolo!$C$1</f>
        <v>50</v>
      </c>
      <c r="N49" s="166" t="s">
        <v>81</v>
      </c>
      <c r="O49" s="167">
        <f>ROUND(Invoerensolo!$BR$10*Invoerensolo!$C$1/100,4)</f>
        <v>0</v>
      </c>
      <c r="P49" s="49">
        <f>Invoerensolo!$BS$10</f>
      </c>
    </row>
    <row r="50" spans="1:16" ht="18.75" customHeight="1">
      <c r="A50" s="135">
        <f>Invoerensolo!$I$10</f>
        <v>0</v>
      </c>
      <c r="B50" s="135">
        <f>Invoerensolo!$G$10</f>
        <v>0</v>
      </c>
      <c r="C50" s="135">
        <f>Invoerensolo!$H$10</f>
        <v>0</v>
      </c>
      <c r="D50" s="126">
        <v>0.4</v>
      </c>
      <c r="E50" s="127">
        <f>Invoerensolo!$AK$10</f>
        <v>0</v>
      </c>
      <c r="F50" s="127">
        <f>Invoerensolo!$AL$10</f>
        <v>0</v>
      </c>
      <c r="G50" s="127">
        <f>Invoerensolo!$AM$10</f>
        <v>0</v>
      </c>
      <c r="H50" s="128">
        <f>Invoerensolo!$AN$10</f>
        <v>0</v>
      </c>
      <c r="I50" s="128">
        <f>Invoerensolo!$AO$10</f>
        <v>0</v>
      </c>
      <c r="J50" s="136">
        <f>Invoerensolo!$AQ$10</f>
        <v>0</v>
      </c>
      <c r="K50" s="137" t="s">
        <v>82</v>
      </c>
      <c r="L50" s="138" t="s">
        <v>83</v>
      </c>
      <c r="M50" s="139">
        <f>Invoerensolo!$C$3</f>
        <v>0</v>
      </c>
      <c r="N50" s="140" t="s">
        <v>81</v>
      </c>
      <c r="O50" s="141">
        <f>ROUND(Invoerensolo!$O$10*Invoerensolo!$C$3/100,4)</f>
        <v>0</v>
      </c>
      <c r="P50" s="7">
        <f>Invoerensolo!$P$10</f>
      </c>
    </row>
    <row r="51" spans="1:11" ht="18.75" customHeight="1">
      <c r="A51" s="135">
        <f>Invoerensolo!$L$10</f>
        <v>0</v>
      </c>
      <c r="B51" s="135">
        <f>Invoerensolo!$J$10</f>
        <v>0</v>
      </c>
      <c r="C51" s="135">
        <f>Invoerensolo!$K$10</f>
        <v>0</v>
      </c>
      <c r="D51" s="126">
        <v>0.3</v>
      </c>
      <c r="E51" s="127">
        <f>Invoerensolo!$AX$10</f>
        <v>0</v>
      </c>
      <c r="F51" s="127">
        <f>Invoerensolo!$AY$10</f>
        <v>0</v>
      </c>
      <c r="G51" s="127">
        <f>Invoerensolo!$AZ$10</f>
        <v>0</v>
      </c>
      <c r="H51" s="128">
        <f>Invoerensolo!$BA$10</f>
        <v>0</v>
      </c>
      <c r="I51" s="128">
        <f>Invoerensolo!$BB$10</f>
        <v>0</v>
      </c>
      <c r="J51" s="136">
        <f>Invoerensolo!$BD$10</f>
        <v>0</v>
      </c>
      <c r="K51" s="137" t="s">
        <v>84</v>
      </c>
    </row>
    <row r="52" spans="1:10" ht="18.75" customHeight="1">
      <c r="A52" s="135"/>
      <c r="B52" s="135"/>
      <c r="C52" s="135"/>
      <c r="F52" s="144"/>
      <c r="G52" s="144"/>
      <c r="H52" s="145"/>
      <c r="I52" s="145"/>
      <c r="J52" s="146">
        <f>SUM(J49:J51)</f>
        <v>0</v>
      </c>
    </row>
    <row r="53" spans="1:11" ht="18.75" customHeight="1">
      <c r="A53" s="135"/>
      <c r="B53" s="135"/>
      <c r="C53" s="135"/>
      <c r="F53" s="135"/>
      <c r="G53" s="135"/>
      <c r="H53" s="147"/>
      <c r="I53" s="148" t="s">
        <v>85</v>
      </c>
      <c r="J53" s="149">
        <f>Invoerensolo!$BG$10</f>
        <v>0</v>
      </c>
      <c r="K53" s="137" t="s">
        <v>86</v>
      </c>
    </row>
    <row r="54" spans="1:16" ht="18.75" customHeight="1">
      <c r="A54" s="135"/>
      <c r="B54" s="135" t="s">
        <v>19</v>
      </c>
      <c r="C54" s="135">
        <f>Invoerensolo!$E$10</f>
        <v>0</v>
      </c>
      <c r="D54" s="96"/>
      <c r="F54" s="135"/>
      <c r="G54" s="135"/>
      <c r="H54" s="147"/>
      <c r="I54" s="148" t="s">
        <v>5</v>
      </c>
      <c r="J54" s="152">
        <f>Invoerensolo!$BH$10</f>
        <v>0</v>
      </c>
      <c r="L54" s="142" t="s">
        <v>95</v>
      </c>
      <c r="M54" s="142">
        <f>Invoerensolo!$C$2</f>
        <v>50</v>
      </c>
      <c r="N54" s="153" t="s">
        <v>81</v>
      </c>
      <c r="O54" s="154">
        <f>Invoerensolo!$BJ$10</f>
        <v>0</v>
      </c>
      <c r="P54" s="7">
        <f>Invoerensolo!$R$10</f>
      </c>
    </row>
    <row r="55" spans="1:16" ht="18.75" customHeight="1">
      <c r="A55" s="135"/>
      <c r="B55" s="135" t="s">
        <v>20</v>
      </c>
      <c r="C55" s="135">
        <f>Invoerensolo!$F$10</f>
        <v>0</v>
      </c>
      <c r="D55" s="96"/>
      <c r="F55" s="135"/>
      <c r="G55" s="135"/>
      <c r="H55" s="155"/>
      <c r="J55" s="152"/>
      <c r="L55" s="156" t="s">
        <v>17</v>
      </c>
      <c r="N55" s="142"/>
      <c r="O55" s="143">
        <f>Invoerensolo!$C$10</f>
        <v>0</v>
      </c>
      <c r="P55" s="157"/>
    </row>
    <row r="56" spans="1:10" ht="18.75" customHeight="1">
      <c r="A56" s="135"/>
      <c r="B56" s="135"/>
      <c r="C56" s="135"/>
      <c r="F56" s="135"/>
      <c r="G56" s="135"/>
      <c r="H56" s="147"/>
      <c r="I56" s="156"/>
      <c r="J56" s="152"/>
    </row>
    <row r="57" spans="1:16" ht="18.75" customHeight="1">
      <c r="A57" s="155">
        <f>Invoerensolo!$B$11</f>
        <v>4</v>
      </c>
      <c r="B57" s="161">
        <f>Invoerensolo!$D$11</f>
        <v>0</v>
      </c>
      <c r="C57" s="125">
        <f>Invoerensolo!M53</f>
        <v>0</v>
      </c>
      <c r="D57" s="126">
        <v>0.3</v>
      </c>
      <c r="E57" s="162">
        <f>Invoerensolo!$X$11</f>
        <v>0</v>
      </c>
      <c r="F57" s="162">
        <f>Invoerensolo!$Y$11</f>
        <v>0</v>
      </c>
      <c r="G57" s="162">
        <f>Invoerensolo!$Z$11</f>
        <v>0</v>
      </c>
      <c r="H57" s="163">
        <f>Invoerensolo!$AA$11</f>
        <v>0</v>
      </c>
      <c r="I57" s="163">
        <f>Invoerensolo!$AB$11</f>
        <v>0</v>
      </c>
      <c r="J57" s="136">
        <f>Invoerensolo!$AD$11</f>
        <v>0</v>
      </c>
      <c r="K57" s="130" t="s">
        <v>79</v>
      </c>
      <c r="L57" s="164" t="s">
        <v>80</v>
      </c>
      <c r="M57" s="165">
        <f>Invoerensolo!$C$1</f>
        <v>50</v>
      </c>
      <c r="N57" s="166" t="s">
        <v>81</v>
      </c>
      <c r="O57" s="167">
        <f>ROUND(Invoerensolo!$BR$11*Invoerensolo!$C$1/100,4)</f>
        <v>0</v>
      </c>
      <c r="P57" s="49">
        <f>Invoerensolo!$BS$11</f>
      </c>
    </row>
    <row r="58" spans="1:16" ht="18.75" customHeight="1">
      <c r="A58" s="135">
        <f>Invoerensolo!$I$11</f>
        <v>0</v>
      </c>
      <c r="B58" s="135">
        <f>Invoerensolo!$G$11</f>
        <v>0</v>
      </c>
      <c r="C58" s="135">
        <f>Invoerensolo!$H$11</f>
        <v>0</v>
      </c>
      <c r="D58" s="126">
        <v>0.4</v>
      </c>
      <c r="E58" s="127">
        <f>Invoerensolo!$AK$11</f>
        <v>0</v>
      </c>
      <c r="F58" s="127">
        <f>Invoerensolo!$AL$11</f>
        <v>0</v>
      </c>
      <c r="G58" s="127">
        <f>Invoerensolo!$AM$11</f>
        <v>0</v>
      </c>
      <c r="H58" s="128">
        <f>Invoerensolo!$AN$11</f>
        <v>0</v>
      </c>
      <c r="I58" s="128">
        <f>Invoerensolo!$AO$11</f>
        <v>0</v>
      </c>
      <c r="J58" s="136">
        <f>Invoerensolo!$AQ$11</f>
        <v>0</v>
      </c>
      <c r="K58" s="137" t="s">
        <v>82</v>
      </c>
      <c r="L58" s="138" t="s">
        <v>83</v>
      </c>
      <c r="M58" s="139">
        <f>Invoerensolo!$C$3</f>
        <v>0</v>
      </c>
      <c r="N58" s="140" t="s">
        <v>81</v>
      </c>
      <c r="O58" s="141">
        <f>ROUND(Invoerensolo!$O$11*Invoerensolo!$C$3/100,4)</f>
        <v>0</v>
      </c>
      <c r="P58" s="7">
        <f>Invoerensolo!$P$11</f>
      </c>
    </row>
    <row r="59" spans="1:11" ht="18.75" customHeight="1">
      <c r="A59" s="135">
        <f>Invoerensolo!$L$11</f>
        <v>0</v>
      </c>
      <c r="B59" s="135">
        <f>Invoerensolo!$J$11</f>
        <v>0</v>
      </c>
      <c r="C59" s="135">
        <f>Invoerensolo!$K$11</f>
        <v>0</v>
      </c>
      <c r="D59" s="126">
        <v>0.3</v>
      </c>
      <c r="E59" s="127">
        <f>Invoerensolo!$AX$11</f>
        <v>0</v>
      </c>
      <c r="F59" s="127">
        <f>Invoerensolo!$AY$11</f>
        <v>0</v>
      </c>
      <c r="G59" s="127">
        <f>Invoerensolo!$AZ$11</f>
        <v>0</v>
      </c>
      <c r="H59" s="128">
        <f>Invoerensolo!$BA$11</f>
        <v>0</v>
      </c>
      <c r="I59" s="128">
        <f>Invoerensolo!$BB$11</f>
        <v>0</v>
      </c>
      <c r="J59" s="136">
        <f>Invoerensolo!$BD$11</f>
        <v>0</v>
      </c>
      <c r="K59" s="137" t="s">
        <v>84</v>
      </c>
    </row>
    <row r="60" spans="1:10" ht="18.75" customHeight="1">
      <c r="A60" s="135"/>
      <c r="B60" s="135"/>
      <c r="C60" s="135"/>
      <c r="F60" s="144"/>
      <c r="G60" s="144"/>
      <c r="H60" s="145"/>
      <c r="I60" s="145"/>
      <c r="J60" s="146">
        <f>SUM(J57:J59)</f>
        <v>0</v>
      </c>
    </row>
    <row r="61" spans="1:11" ht="18.75" customHeight="1">
      <c r="A61" s="135"/>
      <c r="B61" s="135"/>
      <c r="C61" s="135"/>
      <c r="F61" s="135"/>
      <c r="G61" s="135"/>
      <c r="H61" s="147"/>
      <c r="I61" s="148" t="s">
        <v>85</v>
      </c>
      <c r="J61" s="149">
        <f>Invoerensolo!$BG$11</f>
        <v>0</v>
      </c>
      <c r="K61" s="137" t="s">
        <v>86</v>
      </c>
    </row>
    <row r="62" spans="1:16" ht="18.75" customHeight="1">
      <c r="A62" s="135"/>
      <c r="B62" s="135" t="s">
        <v>19</v>
      </c>
      <c r="C62" s="135">
        <f>Invoerensolo!$E$11</f>
        <v>0</v>
      </c>
      <c r="D62" s="96"/>
      <c r="F62" s="135"/>
      <c r="G62" s="135"/>
      <c r="H62" s="147"/>
      <c r="I62" s="148" t="s">
        <v>5</v>
      </c>
      <c r="J62" s="152">
        <f>Invoerensolo!$BH$11</f>
        <v>0</v>
      </c>
      <c r="L62" s="142" t="s">
        <v>95</v>
      </c>
      <c r="M62" s="142">
        <f>Invoerensolo!$C$2</f>
        <v>50</v>
      </c>
      <c r="N62" s="153" t="s">
        <v>81</v>
      </c>
      <c r="O62" s="154">
        <f>Invoerensolo!$BJ$11</f>
        <v>0</v>
      </c>
      <c r="P62" s="7">
        <f>Invoerensolo!$R$11</f>
      </c>
    </row>
    <row r="63" spans="1:16" ht="18.75" customHeight="1">
      <c r="A63" s="135"/>
      <c r="B63" s="135" t="s">
        <v>20</v>
      </c>
      <c r="C63" s="135">
        <f>Invoerensolo!$F$11</f>
        <v>0</v>
      </c>
      <c r="D63" s="96"/>
      <c r="F63" s="135"/>
      <c r="G63" s="135"/>
      <c r="H63" s="155"/>
      <c r="J63" s="152"/>
      <c r="L63" s="156" t="s">
        <v>17</v>
      </c>
      <c r="N63" s="142"/>
      <c r="O63" s="143">
        <f>Invoerensolo!$C$11</f>
        <v>0</v>
      </c>
      <c r="P63" s="157"/>
    </row>
    <row r="64" spans="1:10" ht="18.75" customHeight="1">
      <c r="A64" s="135"/>
      <c r="B64" s="135"/>
      <c r="C64" s="135"/>
      <c r="F64" s="135"/>
      <c r="G64" s="135"/>
      <c r="H64" s="147"/>
      <c r="I64" s="156"/>
      <c r="J64" s="152"/>
    </row>
    <row r="65" spans="1:16" ht="18.75" customHeight="1">
      <c r="A65" s="155">
        <f>Invoerensolo!$B$12</f>
        <v>4</v>
      </c>
      <c r="B65" s="161">
        <f>Invoerensolo!$D$12</f>
        <v>0</v>
      </c>
      <c r="C65" s="125">
        <f>Invoerensolo!M61</f>
        <v>0</v>
      </c>
      <c r="D65" s="126">
        <v>0.3</v>
      </c>
      <c r="E65" s="162">
        <f>Invoerensolo!$X$12</f>
        <v>0</v>
      </c>
      <c r="F65" s="162">
        <f>Invoerensolo!$Y$12</f>
        <v>0</v>
      </c>
      <c r="G65" s="162">
        <f>Invoerensolo!$Z$12</f>
        <v>0</v>
      </c>
      <c r="H65" s="163">
        <f>Invoerensolo!$AA$12</f>
        <v>0</v>
      </c>
      <c r="I65" s="163">
        <f>Invoerensolo!$AB$12</f>
        <v>0</v>
      </c>
      <c r="J65" s="136">
        <f>Invoerensolo!$AD$12</f>
        <v>0</v>
      </c>
      <c r="K65" s="130" t="s">
        <v>79</v>
      </c>
      <c r="L65" s="164" t="s">
        <v>80</v>
      </c>
      <c r="M65" s="165">
        <f>Invoerensolo!$C$1</f>
        <v>50</v>
      </c>
      <c r="N65" s="166" t="s">
        <v>81</v>
      </c>
      <c r="O65" s="167">
        <f>ROUND(Invoerensolo!$BR$12*Invoerensolo!$C$1/100,4)</f>
        <v>0</v>
      </c>
      <c r="P65" s="49">
        <f>Invoerensolo!$BS$12</f>
      </c>
    </row>
    <row r="66" spans="1:16" ht="18.75" customHeight="1">
      <c r="A66" s="135">
        <f>Invoerensolo!$I$12</f>
        <v>0</v>
      </c>
      <c r="B66" s="135">
        <f>Invoerensolo!$G$12</f>
        <v>0</v>
      </c>
      <c r="C66" s="135">
        <f>Invoerensolo!$H$12</f>
        <v>0</v>
      </c>
      <c r="D66" s="126">
        <v>0.4</v>
      </c>
      <c r="E66" s="127">
        <f>Invoerensolo!$AK$12</f>
        <v>0</v>
      </c>
      <c r="F66" s="127">
        <f>Invoerensolo!$AL$12</f>
        <v>0</v>
      </c>
      <c r="G66" s="127">
        <f>Invoerensolo!$AM$12</f>
        <v>0</v>
      </c>
      <c r="H66" s="128">
        <f>Invoerensolo!$AN$12</f>
        <v>0</v>
      </c>
      <c r="I66" s="128">
        <f>Invoerensolo!$AO$12</f>
        <v>0</v>
      </c>
      <c r="J66" s="136">
        <f>Invoerensolo!$AQ$12</f>
        <v>0</v>
      </c>
      <c r="K66" s="137" t="s">
        <v>82</v>
      </c>
      <c r="L66" s="138" t="s">
        <v>83</v>
      </c>
      <c r="M66" s="139">
        <f>Invoerensolo!$C$3</f>
        <v>0</v>
      </c>
      <c r="N66" s="140" t="s">
        <v>81</v>
      </c>
      <c r="O66" s="141">
        <f>ROUND(Invoerensolo!$O$12*Invoerensolo!$C$3/100,4)</f>
        <v>0</v>
      </c>
      <c r="P66" s="7">
        <f>Invoerensolo!$P$12</f>
      </c>
    </row>
    <row r="67" spans="1:11" ht="18.75" customHeight="1">
      <c r="A67" s="135">
        <f>Invoerensolo!$L$12</f>
        <v>0</v>
      </c>
      <c r="B67" s="135">
        <f>Invoerensolo!$J$12</f>
        <v>0</v>
      </c>
      <c r="C67" s="135">
        <f>Invoerensolo!$K$12</f>
        <v>0</v>
      </c>
      <c r="D67" s="126">
        <v>0.3</v>
      </c>
      <c r="E67" s="127">
        <f>Invoerensolo!$AX$12</f>
        <v>0</v>
      </c>
      <c r="F67" s="127">
        <f>Invoerensolo!$AY$12</f>
        <v>0</v>
      </c>
      <c r="G67" s="127">
        <f>Invoerensolo!$AZ$12</f>
        <v>0</v>
      </c>
      <c r="H67" s="128">
        <f>Invoerensolo!$BA$12</f>
        <v>0</v>
      </c>
      <c r="I67" s="128">
        <f>Invoerensolo!$BB$12</f>
        <v>0</v>
      </c>
      <c r="J67" s="136">
        <f>Invoerensolo!$BD$12</f>
        <v>0</v>
      </c>
      <c r="K67" s="137" t="s">
        <v>84</v>
      </c>
    </row>
    <row r="68" spans="1:10" ht="18.75" customHeight="1">
      <c r="A68" s="135"/>
      <c r="B68" s="135"/>
      <c r="C68" s="135"/>
      <c r="F68" s="144"/>
      <c r="G68" s="144"/>
      <c r="H68" s="145"/>
      <c r="I68" s="145"/>
      <c r="J68" s="146">
        <f>SUM(J65:J67)</f>
        <v>0</v>
      </c>
    </row>
    <row r="69" spans="1:11" ht="18.75" customHeight="1">
      <c r="A69" s="135"/>
      <c r="B69" s="135"/>
      <c r="C69" s="135"/>
      <c r="F69" s="135"/>
      <c r="G69" s="135"/>
      <c r="H69" s="147"/>
      <c r="I69" s="148" t="s">
        <v>85</v>
      </c>
      <c r="J69" s="149">
        <f>Invoerensolo!$BG$12</f>
        <v>0</v>
      </c>
      <c r="K69" s="137" t="s">
        <v>86</v>
      </c>
    </row>
    <row r="70" spans="1:16" ht="18.75" customHeight="1">
      <c r="A70" s="135"/>
      <c r="B70" s="135" t="s">
        <v>19</v>
      </c>
      <c r="C70" s="135">
        <f>Invoerensolo!$E$12</f>
        <v>0</v>
      </c>
      <c r="D70" s="96"/>
      <c r="F70" s="135"/>
      <c r="G70" s="135"/>
      <c r="H70" s="147"/>
      <c r="I70" s="148" t="s">
        <v>5</v>
      </c>
      <c r="J70" s="152">
        <f>Invoerensolo!$BH$12</f>
        <v>0</v>
      </c>
      <c r="L70" s="142" t="s">
        <v>95</v>
      </c>
      <c r="M70" s="142">
        <f>Invoerensolo!$C$2</f>
        <v>50</v>
      </c>
      <c r="N70" s="153" t="s">
        <v>81</v>
      </c>
      <c r="O70" s="154">
        <f>Invoerensolo!$BJ$12</f>
        <v>0</v>
      </c>
      <c r="P70" s="7">
        <f>Invoerensolo!$R$12</f>
      </c>
    </row>
    <row r="71" spans="1:16" ht="18.75" customHeight="1">
      <c r="A71" s="135"/>
      <c r="B71" s="135" t="s">
        <v>20</v>
      </c>
      <c r="C71" s="135">
        <f>Invoerensolo!$F$12</f>
        <v>0</v>
      </c>
      <c r="D71" s="96"/>
      <c r="F71" s="135"/>
      <c r="G71" s="135"/>
      <c r="H71" s="155"/>
      <c r="J71" s="152"/>
      <c r="L71" s="156" t="s">
        <v>17</v>
      </c>
      <c r="N71" s="142"/>
      <c r="O71" s="143">
        <f>Invoerensolo!$C$12</f>
        <v>0</v>
      </c>
      <c r="P71" s="157"/>
    </row>
    <row r="72" spans="1:10" ht="18.75" customHeight="1">
      <c r="A72" s="135"/>
      <c r="B72" s="135"/>
      <c r="C72" s="135"/>
      <c r="F72" s="135"/>
      <c r="G72" s="135"/>
      <c r="H72" s="147"/>
      <c r="I72" s="156"/>
      <c r="J72" s="152"/>
    </row>
    <row r="73" spans="1:16" ht="18.75" customHeight="1">
      <c r="A73" s="155">
        <f>Invoerensolo!$B$13</f>
        <v>4</v>
      </c>
      <c r="B73" s="161">
        <f>Invoerensolo!$D$13</f>
        <v>0</v>
      </c>
      <c r="C73" s="125">
        <f>Invoerensolo!M69</f>
        <v>0</v>
      </c>
      <c r="D73" s="126">
        <v>0.3</v>
      </c>
      <c r="E73" s="162">
        <f>Invoerensolo!$X$13</f>
        <v>0</v>
      </c>
      <c r="F73" s="162">
        <f>Invoerensolo!$Y$13</f>
        <v>0</v>
      </c>
      <c r="G73" s="162">
        <f>Invoerensolo!$Z$13</f>
        <v>0</v>
      </c>
      <c r="H73" s="163">
        <f>Invoerensolo!$AA$13</f>
        <v>0</v>
      </c>
      <c r="I73" s="163">
        <f>Invoerensolo!$AB$13</f>
        <v>0</v>
      </c>
      <c r="J73" s="136">
        <f>Invoerensolo!$AD$13</f>
        <v>0</v>
      </c>
      <c r="K73" s="130" t="s">
        <v>79</v>
      </c>
      <c r="L73" s="164" t="s">
        <v>80</v>
      </c>
      <c r="M73" s="165">
        <f>Invoerensolo!$C$1</f>
        <v>50</v>
      </c>
      <c r="N73" s="166" t="s">
        <v>81</v>
      </c>
      <c r="O73" s="167">
        <f>ROUND(Invoerensolo!$BR$13*Invoerensolo!$C$1/100,4)</f>
        <v>0</v>
      </c>
      <c r="P73" s="49">
        <f>Invoerensolo!$BS$13</f>
      </c>
    </row>
    <row r="74" spans="1:16" ht="18.75" customHeight="1">
      <c r="A74" s="135">
        <f>Invoerensolo!$I$13</f>
        <v>0</v>
      </c>
      <c r="B74" s="135">
        <f>Invoerensolo!$G$13</f>
        <v>0</v>
      </c>
      <c r="C74" s="135">
        <f>Invoerensolo!$H$13</f>
        <v>0</v>
      </c>
      <c r="D74" s="126">
        <v>0.4</v>
      </c>
      <c r="E74" s="127">
        <f>Invoerensolo!$AK$13</f>
        <v>0</v>
      </c>
      <c r="F74" s="127">
        <f>Invoerensolo!$AL$13</f>
        <v>0</v>
      </c>
      <c r="G74" s="127">
        <f>Invoerensolo!$AM$13</f>
        <v>0</v>
      </c>
      <c r="H74" s="128">
        <f>Invoerensolo!$AN$13</f>
        <v>0</v>
      </c>
      <c r="I74" s="128">
        <f>Invoerensolo!$AO$13</f>
        <v>0</v>
      </c>
      <c r="J74" s="136">
        <f>Invoerensolo!$AQ$13</f>
        <v>0</v>
      </c>
      <c r="K74" s="137" t="s">
        <v>82</v>
      </c>
      <c r="L74" s="138" t="s">
        <v>83</v>
      </c>
      <c r="M74" s="139">
        <f>Invoerensolo!$C$3</f>
        <v>0</v>
      </c>
      <c r="N74" s="140" t="s">
        <v>81</v>
      </c>
      <c r="O74" s="141">
        <f>ROUND(Invoerensolo!$O$13*Invoerensolo!$C$3/100,4)</f>
        <v>0</v>
      </c>
      <c r="P74" s="7">
        <f>Invoerensolo!$P$13</f>
      </c>
    </row>
    <row r="75" spans="1:11" ht="18.75" customHeight="1">
      <c r="A75" s="135">
        <f>Invoerensolo!$L$13</f>
        <v>0</v>
      </c>
      <c r="B75" s="135">
        <f>Invoerensolo!$J$13</f>
        <v>0</v>
      </c>
      <c r="C75" s="135">
        <f>Invoerensolo!$K$13</f>
        <v>0</v>
      </c>
      <c r="D75" s="126">
        <v>0.3</v>
      </c>
      <c r="E75" s="127">
        <f>Invoerensolo!$AX$13</f>
        <v>0</v>
      </c>
      <c r="F75" s="127">
        <f>Invoerensolo!$AY$13</f>
        <v>0</v>
      </c>
      <c r="G75" s="127">
        <f>Invoerensolo!$AZ$13</f>
        <v>0</v>
      </c>
      <c r="H75" s="128">
        <f>Invoerensolo!$BA$13</f>
        <v>0</v>
      </c>
      <c r="I75" s="128">
        <f>Invoerensolo!$BB$13</f>
        <v>0</v>
      </c>
      <c r="J75" s="136">
        <f>Invoerensolo!$BD$13</f>
        <v>0</v>
      </c>
      <c r="K75" s="137" t="s">
        <v>84</v>
      </c>
    </row>
    <row r="76" spans="1:10" ht="18.75" customHeight="1">
      <c r="A76" s="135"/>
      <c r="B76" s="135"/>
      <c r="C76" s="135"/>
      <c r="F76" s="144"/>
      <c r="G76" s="144"/>
      <c r="H76" s="145"/>
      <c r="I76" s="145"/>
      <c r="J76" s="146">
        <f>SUM(J73:J75)</f>
        <v>0</v>
      </c>
    </row>
    <row r="77" spans="1:11" ht="18.75" customHeight="1">
      <c r="A77" s="135"/>
      <c r="B77" s="135"/>
      <c r="C77" s="135"/>
      <c r="F77" s="135"/>
      <c r="G77" s="135"/>
      <c r="H77" s="147"/>
      <c r="I77" s="148" t="s">
        <v>85</v>
      </c>
      <c r="J77" s="149">
        <f>Invoerensolo!$BG$13</f>
        <v>0</v>
      </c>
      <c r="K77" s="137" t="s">
        <v>86</v>
      </c>
    </row>
    <row r="78" spans="1:16" ht="18.75" customHeight="1">
      <c r="A78" s="135"/>
      <c r="B78" s="135" t="s">
        <v>19</v>
      </c>
      <c r="C78" s="135">
        <f>Invoerensolo!$E$13</f>
        <v>0</v>
      </c>
      <c r="D78" s="96"/>
      <c r="F78" s="135"/>
      <c r="G78" s="135"/>
      <c r="H78" s="147"/>
      <c r="I78" s="148" t="s">
        <v>5</v>
      </c>
      <c r="J78" s="152">
        <f>Invoerensolo!$BH$13</f>
        <v>0</v>
      </c>
      <c r="L78" s="142" t="s">
        <v>95</v>
      </c>
      <c r="M78" s="142">
        <f>Invoerensolo!$C$2</f>
        <v>50</v>
      </c>
      <c r="N78" s="153" t="s">
        <v>81</v>
      </c>
      <c r="O78" s="154">
        <f>Invoerensolo!$BJ$13</f>
        <v>0</v>
      </c>
      <c r="P78" s="7">
        <f>Invoerensolo!$R$13</f>
      </c>
    </row>
    <row r="79" spans="1:16" ht="18.75" customHeight="1">
      <c r="A79" s="135"/>
      <c r="B79" s="135" t="s">
        <v>20</v>
      </c>
      <c r="C79" s="135">
        <f>Invoerensolo!$F$13</f>
        <v>0</v>
      </c>
      <c r="D79" s="96"/>
      <c r="F79" s="135"/>
      <c r="G79" s="135"/>
      <c r="H79" s="155"/>
      <c r="J79" s="152"/>
      <c r="L79" s="156" t="s">
        <v>17</v>
      </c>
      <c r="N79" s="142"/>
      <c r="O79" s="143">
        <f>Invoerensolo!$C$13</f>
        <v>0</v>
      </c>
      <c r="P79" s="157"/>
    </row>
    <row r="80" spans="1:10" ht="18.75" customHeight="1">
      <c r="A80" s="135"/>
      <c r="B80" s="135"/>
      <c r="C80" s="135"/>
      <c r="F80" s="135"/>
      <c r="G80" s="135"/>
      <c r="H80" s="147"/>
      <c r="I80" s="156"/>
      <c r="J80" s="152"/>
    </row>
    <row r="81" spans="1:16" ht="18.75" customHeight="1">
      <c r="A81" s="155">
        <f>Invoerensolo!$B$14</f>
        <v>4</v>
      </c>
      <c r="B81" s="161">
        <f>Invoerensolo!$D$14</f>
        <v>0</v>
      </c>
      <c r="C81" s="125">
        <f>Invoerensolo!M77</f>
        <v>0</v>
      </c>
      <c r="D81" s="126">
        <v>0.3</v>
      </c>
      <c r="E81" s="162">
        <f>Invoerensolo!$X$14</f>
        <v>0</v>
      </c>
      <c r="F81" s="162">
        <f>Invoerensolo!$Y$14</f>
        <v>0</v>
      </c>
      <c r="G81" s="162">
        <f>Invoerensolo!$Z$14</f>
        <v>0</v>
      </c>
      <c r="H81" s="163">
        <f>Invoerensolo!$AA$14</f>
        <v>0</v>
      </c>
      <c r="I81" s="163">
        <f>Invoerensolo!$AB$14</f>
        <v>0</v>
      </c>
      <c r="J81" s="136">
        <f>Invoerensolo!$AD$14</f>
        <v>0</v>
      </c>
      <c r="K81" s="130" t="s">
        <v>79</v>
      </c>
      <c r="L81" s="164" t="s">
        <v>80</v>
      </c>
      <c r="M81" s="165">
        <f>Invoerensolo!$C$1</f>
        <v>50</v>
      </c>
      <c r="N81" s="166" t="s">
        <v>81</v>
      </c>
      <c r="O81" s="167">
        <f>ROUND(Invoerensolo!$BR$14*Invoerensolo!$C$1/100,4)</f>
        <v>0</v>
      </c>
      <c r="P81" s="49">
        <f>Invoerensolo!$BS$14</f>
      </c>
    </row>
    <row r="82" spans="1:16" ht="18.75" customHeight="1">
      <c r="A82" s="135">
        <f>Invoerensolo!$I$14</f>
        <v>0</v>
      </c>
      <c r="B82" s="135">
        <f>Invoerensolo!$G$14</f>
        <v>0</v>
      </c>
      <c r="C82" s="135">
        <f>Invoerensolo!$H$14</f>
        <v>0</v>
      </c>
      <c r="D82" s="126">
        <v>0.4</v>
      </c>
      <c r="E82" s="127">
        <f>Invoerensolo!$AK$14</f>
        <v>0</v>
      </c>
      <c r="F82" s="127">
        <f>Invoerensolo!$AL$14</f>
        <v>0</v>
      </c>
      <c r="G82" s="127">
        <f>Invoerensolo!$AM$14</f>
        <v>0</v>
      </c>
      <c r="H82" s="128">
        <f>Invoerensolo!$AN$14</f>
        <v>0</v>
      </c>
      <c r="I82" s="128">
        <f>Invoerensolo!$AO$14</f>
        <v>0</v>
      </c>
      <c r="J82" s="136">
        <f>Invoerensolo!$AQ$14</f>
        <v>0</v>
      </c>
      <c r="K82" s="137" t="s">
        <v>82</v>
      </c>
      <c r="L82" s="138" t="s">
        <v>83</v>
      </c>
      <c r="M82" s="139">
        <f>Invoerensolo!$C$3</f>
        <v>0</v>
      </c>
      <c r="N82" s="140" t="s">
        <v>81</v>
      </c>
      <c r="O82" s="141">
        <f>ROUND(Invoerensolo!$O$14*Invoerensolo!$C$3/100,4)</f>
        <v>0</v>
      </c>
      <c r="P82" s="7">
        <f>Invoerensolo!$P$14</f>
      </c>
    </row>
    <row r="83" spans="1:11" ht="18.75" customHeight="1">
      <c r="A83" s="135">
        <f>Invoerensolo!$L$14</f>
        <v>0</v>
      </c>
      <c r="B83" s="135">
        <f>Invoerensolo!$J$14</f>
        <v>0</v>
      </c>
      <c r="C83" s="135">
        <f>Invoerensolo!$K$14</f>
        <v>0</v>
      </c>
      <c r="D83" s="126">
        <v>0.3</v>
      </c>
      <c r="E83" s="127">
        <f>Invoerensolo!$AX$14</f>
        <v>0</v>
      </c>
      <c r="F83" s="127">
        <f>Invoerensolo!$AY$14</f>
        <v>0</v>
      </c>
      <c r="G83" s="127">
        <f>Invoerensolo!$AZ$14</f>
        <v>0</v>
      </c>
      <c r="H83" s="128">
        <f>Invoerensolo!$BA$14</f>
        <v>0</v>
      </c>
      <c r="I83" s="128">
        <f>Invoerensolo!$BB$14</f>
        <v>0</v>
      </c>
      <c r="J83" s="136">
        <f>Invoerensolo!$BD$14</f>
        <v>0</v>
      </c>
      <c r="K83" s="137" t="s">
        <v>84</v>
      </c>
    </row>
    <row r="84" spans="1:10" ht="18.75" customHeight="1">
      <c r="A84" s="135"/>
      <c r="B84" s="135"/>
      <c r="C84" s="135"/>
      <c r="F84" s="144"/>
      <c r="G84" s="144"/>
      <c r="H84" s="145"/>
      <c r="I84" s="145"/>
      <c r="J84" s="146">
        <f>SUM(J81:J83)</f>
        <v>0</v>
      </c>
    </row>
    <row r="85" spans="1:11" ht="18.75" customHeight="1">
      <c r="A85" s="135"/>
      <c r="B85" s="135"/>
      <c r="C85" s="135"/>
      <c r="F85" s="135"/>
      <c r="G85" s="135"/>
      <c r="H85" s="147"/>
      <c r="I85" s="148" t="s">
        <v>85</v>
      </c>
      <c r="J85" s="149">
        <f>Invoerensolo!$BG$14</f>
        <v>0</v>
      </c>
      <c r="K85" s="137" t="s">
        <v>86</v>
      </c>
    </row>
    <row r="86" spans="1:16" ht="18.75" customHeight="1">
      <c r="A86" s="135"/>
      <c r="B86" s="135" t="s">
        <v>19</v>
      </c>
      <c r="C86" s="135">
        <f>Invoerensolo!$E$14</f>
        <v>0</v>
      </c>
      <c r="D86" s="96"/>
      <c r="F86" s="135"/>
      <c r="G86" s="135"/>
      <c r="H86" s="147"/>
      <c r="I86" s="148" t="s">
        <v>5</v>
      </c>
      <c r="J86" s="152">
        <f>Invoerensolo!$BH$14</f>
        <v>0</v>
      </c>
      <c r="L86" s="142" t="s">
        <v>95</v>
      </c>
      <c r="M86" s="142">
        <f>Invoerensolo!$C$2</f>
        <v>50</v>
      </c>
      <c r="N86" s="153" t="s">
        <v>81</v>
      </c>
      <c r="O86" s="154">
        <f>Invoerensolo!$BJ$14</f>
        <v>0</v>
      </c>
      <c r="P86" s="7">
        <f>Invoerensolo!$R$14</f>
      </c>
    </row>
    <row r="87" spans="1:16" ht="18.75" customHeight="1">
      <c r="A87" s="135"/>
      <c r="B87" s="135" t="s">
        <v>20</v>
      </c>
      <c r="C87" s="135">
        <f>Invoerensolo!$F$14</f>
        <v>0</v>
      </c>
      <c r="D87" s="96"/>
      <c r="F87" s="135"/>
      <c r="G87" s="135"/>
      <c r="H87" s="155"/>
      <c r="J87" s="152"/>
      <c r="L87" s="156" t="s">
        <v>17</v>
      </c>
      <c r="N87" s="142"/>
      <c r="O87" s="143">
        <f>Invoerensolo!$C$14</f>
        <v>0</v>
      </c>
      <c r="P87" s="157"/>
    </row>
    <row r="88" spans="1:10" ht="18.75" customHeight="1">
      <c r="A88" s="135"/>
      <c r="B88" s="135"/>
      <c r="C88" s="135"/>
      <c r="F88" s="135"/>
      <c r="G88" s="135"/>
      <c r="H88" s="147"/>
      <c r="I88" s="156"/>
      <c r="J88" s="152"/>
    </row>
    <row r="89" spans="1:16" ht="18.75" customHeight="1">
      <c r="A89" s="155">
        <f>Invoerensolo!$B$15</f>
        <v>4</v>
      </c>
      <c r="B89" s="161">
        <f>Invoerensolo!$D$15</f>
        <v>0</v>
      </c>
      <c r="C89" s="125">
        <f>Invoerensolo!M85</f>
        <v>0</v>
      </c>
      <c r="D89" s="126">
        <v>0.3</v>
      </c>
      <c r="E89" s="162">
        <f>Invoerensolo!$X$15</f>
        <v>0</v>
      </c>
      <c r="F89" s="162">
        <f>Invoerensolo!$Y$15</f>
        <v>0</v>
      </c>
      <c r="G89" s="162">
        <f>Invoerensolo!$Z$15</f>
        <v>0</v>
      </c>
      <c r="H89" s="163">
        <f>Invoerensolo!$AA$15</f>
        <v>0</v>
      </c>
      <c r="I89" s="163">
        <f>Invoerensolo!$AB$15</f>
        <v>0</v>
      </c>
      <c r="J89" s="136">
        <f>Invoerensolo!$AD$15</f>
        <v>0</v>
      </c>
      <c r="K89" s="130" t="s">
        <v>79</v>
      </c>
      <c r="L89" s="164" t="s">
        <v>80</v>
      </c>
      <c r="M89" s="165">
        <f>Invoerensolo!$C$1</f>
        <v>50</v>
      </c>
      <c r="N89" s="166" t="s">
        <v>81</v>
      </c>
      <c r="O89" s="167">
        <f>ROUND(Invoerensolo!$BR$15*Invoerensolo!$C$1/100,4)</f>
        <v>0</v>
      </c>
      <c r="P89" s="49">
        <f>Invoerensolo!$BS$15</f>
      </c>
    </row>
    <row r="90" spans="1:16" ht="18.75" customHeight="1">
      <c r="A90" s="135">
        <f>Invoerensolo!$I$15</f>
        <v>0</v>
      </c>
      <c r="B90" s="135">
        <f>Invoerensolo!$G$15</f>
        <v>0</v>
      </c>
      <c r="C90" s="135">
        <f>Invoerensolo!$H$15</f>
        <v>0</v>
      </c>
      <c r="D90" s="126">
        <v>0.4</v>
      </c>
      <c r="E90" s="127">
        <f>Invoerensolo!$AK$15</f>
        <v>0</v>
      </c>
      <c r="F90" s="127">
        <f>Invoerensolo!$AL$15</f>
        <v>0</v>
      </c>
      <c r="G90" s="127">
        <f>Invoerensolo!$AM$15</f>
        <v>0</v>
      </c>
      <c r="H90" s="128">
        <f>Invoerensolo!$AN$15</f>
        <v>0</v>
      </c>
      <c r="I90" s="128">
        <f>Invoerensolo!$AO$15</f>
        <v>0</v>
      </c>
      <c r="J90" s="136">
        <f>Invoerensolo!$AQ$15</f>
        <v>0</v>
      </c>
      <c r="K90" s="137" t="s">
        <v>82</v>
      </c>
      <c r="L90" s="138" t="s">
        <v>83</v>
      </c>
      <c r="M90" s="139">
        <f>Invoerensolo!$C$3</f>
        <v>0</v>
      </c>
      <c r="N90" s="140" t="s">
        <v>81</v>
      </c>
      <c r="O90" s="141">
        <f>ROUND(Invoerensolo!$O$15*Invoerensolo!$C$3/100,4)</f>
        <v>0</v>
      </c>
      <c r="P90" s="7">
        <f>Invoerensolo!$P$15</f>
      </c>
    </row>
    <row r="91" spans="1:11" ht="18.75" customHeight="1">
      <c r="A91" s="135">
        <f>Invoerensolo!$L$15</f>
        <v>0</v>
      </c>
      <c r="B91" s="135">
        <f>Invoerensolo!$J$15</f>
        <v>0</v>
      </c>
      <c r="C91" s="135">
        <f>Invoerensolo!$K$15</f>
        <v>0</v>
      </c>
      <c r="D91" s="126">
        <v>0.3</v>
      </c>
      <c r="E91" s="127">
        <f>Invoerensolo!$AX$15</f>
        <v>0</v>
      </c>
      <c r="F91" s="127">
        <f>Invoerensolo!$AY$15</f>
        <v>0</v>
      </c>
      <c r="G91" s="127">
        <f>Invoerensolo!$AZ$15</f>
        <v>0</v>
      </c>
      <c r="H91" s="128">
        <f>Invoerensolo!$BA$15</f>
        <v>0</v>
      </c>
      <c r="I91" s="128">
        <f>Invoerensolo!$BB$15</f>
        <v>0</v>
      </c>
      <c r="J91" s="136">
        <f>Invoerensolo!$BD$15</f>
        <v>0</v>
      </c>
      <c r="K91" s="137" t="s">
        <v>84</v>
      </c>
    </row>
    <row r="92" spans="1:10" ht="18.75" customHeight="1">
      <c r="A92" s="135"/>
      <c r="B92" s="135"/>
      <c r="C92" s="135"/>
      <c r="F92" s="144"/>
      <c r="G92" s="144"/>
      <c r="H92" s="145"/>
      <c r="I92" s="145"/>
      <c r="J92" s="146">
        <f>SUM(J89:J91)</f>
        <v>0</v>
      </c>
    </row>
    <row r="93" spans="1:11" ht="18.75" customHeight="1">
      <c r="A93" s="135"/>
      <c r="B93" s="135"/>
      <c r="C93" s="135"/>
      <c r="F93" s="135"/>
      <c r="G93" s="135"/>
      <c r="H93" s="147"/>
      <c r="I93" s="148" t="s">
        <v>85</v>
      </c>
      <c r="J93" s="149">
        <f>Invoerensolo!$BG$15</f>
        <v>0</v>
      </c>
      <c r="K93" s="137" t="s">
        <v>86</v>
      </c>
    </row>
    <row r="94" spans="1:16" ht="18.75" customHeight="1">
      <c r="A94" s="135"/>
      <c r="B94" s="135" t="s">
        <v>19</v>
      </c>
      <c r="C94" s="135">
        <f>Invoerensolo!$E$15</f>
        <v>0</v>
      </c>
      <c r="D94" s="96"/>
      <c r="F94" s="135"/>
      <c r="G94" s="135"/>
      <c r="H94" s="147"/>
      <c r="I94" s="148" t="s">
        <v>5</v>
      </c>
      <c r="J94" s="152">
        <f>Invoerensolo!$BH$15</f>
        <v>0</v>
      </c>
      <c r="L94" s="142" t="s">
        <v>95</v>
      </c>
      <c r="M94" s="142">
        <f>Invoerensolo!$C$2</f>
        <v>50</v>
      </c>
      <c r="N94" s="153" t="s">
        <v>81</v>
      </c>
      <c r="O94" s="154">
        <f>Invoerensolo!$BJ$15</f>
        <v>0</v>
      </c>
      <c r="P94" s="7">
        <f>Invoerensolo!$R$15</f>
      </c>
    </row>
    <row r="95" spans="1:16" ht="18.75" customHeight="1">
      <c r="A95" s="135"/>
      <c r="B95" s="135" t="s">
        <v>20</v>
      </c>
      <c r="C95" s="135">
        <f>Invoerensolo!$F$15</f>
        <v>0</v>
      </c>
      <c r="D95" s="96"/>
      <c r="F95" s="135"/>
      <c r="G95" s="135"/>
      <c r="H95" s="155"/>
      <c r="J95" s="152"/>
      <c r="L95" s="156" t="s">
        <v>17</v>
      </c>
      <c r="N95" s="142"/>
      <c r="O95" s="143">
        <f>Invoerensolo!$C$15</f>
        <v>0</v>
      </c>
      <c r="P95" s="157"/>
    </row>
    <row r="96" spans="1:10" ht="18.75" customHeight="1">
      <c r="A96" s="135"/>
      <c r="B96" s="135"/>
      <c r="C96" s="135"/>
      <c r="F96" s="135"/>
      <c r="G96" s="135"/>
      <c r="H96" s="147"/>
      <c r="I96" s="156"/>
      <c r="J96" s="152"/>
    </row>
    <row r="97" spans="1:16" ht="18.75" customHeight="1">
      <c r="A97" s="155">
        <f>Invoerensolo!$B$16</f>
        <v>4</v>
      </c>
      <c r="B97" s="161">
        <f>Invoerensolo!$D$16</f>
        <v>0</v>
      </c>
      <c r="C97" s="125">
        <f>Invoerensolo!M93</f>
        <v>0</v>
      </c>
      <c r="D97" s="126">
        <v>0.3</v>
      </c>
      <c r="E97" s="162">
        <f>Invoerensolo!$X$16</f>
        <v>0</v>
      </c>
      <c r="F97" s="162">
        <f>Invoerensolo!$Y$16</f>
        <v>0</v>
      </c>
      <c r="G97" s="162">
        <f>Invoerensolo!$Z$16</f>
        <v>0</v>
      </c>
      <c r="H97" s="163">
        <f>Invoerensolo!$AA$16</f>
        <v>0</v>
      </c>
      <c r="I97" s="163">
        <f>Invoerensolo!$AB$16</f>
        <v>0</v>
      </c>
      <c r="J97" s="136">
        <f>Invoerensolo!$AD$16</f>
        <v>0</v>
      </c>
      <c r="K97" s="130" t="s">
        <v>79</v>
      </c>
      <c r="L97" s="164" t="s">
        <v>80</v>
      </c>
      <c r="M97" s="165">
        <f>Invoerensolo!$C$1</f>
        <v>50</v>
      </c>
      <c r="N97" s="166" t="s">
        <v>81</v>
      </c>
      <c r="O97" s="167">
        <f>ROUND(Invoerensolo!$BR$16*Invoerensolo!$C$1/100,4)</f>
        <v>0</v>
      </c>
      <c r="P97" s="49">
        <f>Invoerensolo!$BS$16</f>
      </c>
    </row>
    <row r="98" spans="1:16" ht="18.75" customHeight="1">
      <c r="A98" s="135">
        <f>Invoerensolo!$I$16</f>
        <v>0</v>
      </c>
      <c r="B98" s="135">
        <f>Invoerensolo!$G$16</f>
        <v>0</v>
      </c>
      <c r="C98" s="135">
        <f>Invoerensolo!$H$16</f>
        <v>0</v>
      </c>
      <c r="D98" s="126">
        <v>0.4</v>
      </c>
      <c r="E98" s="127">
        <f>Invoerensolo!$AK$16</f>
        <v>0</v>
      </c>
      <c r="F98" s="127">
        <f>Invoerensolo!$AL$16</f>
        <v>0</v>
      </c>
      <c r="G98" s="127">
        <f>Invoerensolo!$AM$16</f>
        <v>0</v>
      </c>
      <c r="H98" s="128">
        <f>Invoerensolo!$AN$16</f>
        <v>0</v>
      </c>
      <c r="I98" s="128">
        <f>Invoerensolo!$AO$16</f>
        <v>0</v>
      </c>
      <c r="J98" s="136">
        <f>Invoerensolo!$AQ$16</f>
        <v>0</v>
      </c>
      <c r="K98" s="137" t="s">
        <v>82</v>
      </c>
      <c r="L98" s="138" t="s">
        <v>83</v>
      </c>
      <c r="M98" s="139">
        <f>Invoerensolo!$C$3</f>
        <v>0</v>
      </c>
      <c r="N98" s="140" t="s">
        <v>81</v>
      </c>
      <c r="O98" s="141">
        <f>ROUND(Invoerensolo!$O$16*Invoerensolo!$C$3/100,4)</f>
        <v>0</v>
      </c>
      <c r="P98" s="7">
        <f>Invoerensolo!$P$16</f>
      </c>
    </row>
    <row r="99" spans="1:11" ht="18.75" customHeight="1">
      <c r="A99" s="135">
        <f>Invoerensolo!$L$16</f>
        <v>0</v>
      </c>
      <c r="B99" s="135">
        <f>Invoerensolo!$J$16</f>
        <v>0</v>
      </c>
      <c r="C99" s="135">
        <f>Invoerensolo!$K$16</f>
        <v>0</v>
      </c>
      <c r="D99" s="126">
        <v>0.3</v>
      </c>
      <c r="E99" s="127">
        <f>Invoerensolo!$AX$16</f>
        <v>0</v>
      </c>
      <c r="F99" s="127">
        <f>Invoerensolo!$AY$16</f>
        <v>0</v>
      </c>
      <c r="G99" s="127">
        <f>Invoerensolo!$AZ$16</f>
        <v>0</v>
      </c>
      <c r="H99" s="128">
        <f>Invoerensolo!$BA$16</f>
        <v>0</v>
      </c>
      <c r="I99" s="128">
        <f>Invoerensolo!$BB$16</f>
        <v>0</v>
      </c>
      <c r="J99" s="136">
        <f>Invoerensolo!$BD$16</f>
        <v>0</v>
      </c>
      <c r="K99" s="137" t="s">
        <v>84</v>
      </c>
    </row>
    <row r="100" spans="1:10" ht="18.75" customHeight="1">
      <c r="A100" s="135"/>
      <c r="B100" s="135"/>
      <c r="C100" s="135"/>
      <c r="F100" s="144"/>
      <c r="G100" s="144"/>
      <c r="H100" s="145"/>
      <c r="I100" s="145"/>
      <c r="J100" s="146">
        <f>SUM(J97:J99)</f>
        <v>0</v>
      </c>
    </row>
    <row r="101" spans="1:11" ht="18.75" customHeight="1">
      <c r="A101" s="135"/>
      <c r="B101" s="135"/>
      <c r="C101" s="135"/>
      <c r="F101" s="135"/>
      <c r="G101" s="135"/>
      <c r="H101" s="147"/>
      <c r="I101" s="148" t="s">
        <v>85</v>
      </c>
      <c r="J101" s="149">
        <f>Invoerensolo!$BG$16</f>
        <v>0</v>
      </c>
      <c r="K101" s="137" t="s">
        <v>86</v>
      </c>
    </row>
    <row r="102" spans="1:16" ht="18.75" customHeight="1">
      <c r="A102" s="135"/>
      <c r="B102" s="135" t="s">
        <v>19</v>
      </c>
      <c r="C102" s="135">
        <f>Invoerensolo!$E$16</f>
        <v>0</v>
      </c>
      <c r="D102" s="96"/>
      <c r="F102" s="135"/>
      <c r="G102" s="135"/>
      <c r="H102" s="147"/>
      <c r="I102" s="148" t="s">
        <v>5</v>
      </c>
      <c r="J102" s="152">
        <f>Invoerensolo!$BH$16</f>
        <v>0</v>
      </c>
      <c r="L102" s="142" t="s">
        <v>95</v>
      </c>
      <c r="M102" s="142">
        <f>Invoerensolo!$C$2</f>
        <v>50</v>
      </c>
      <c r="N102" s="153" t="s">
        <v>81</v>
      </c>
      <c r="O102" s="154">
        <f>Invoerensolo!$BJ$16</f>
        <v>0</v>
      </c>
      <c r="P102" s="7">
        <f>Invoerensolo!$R$16</f>
      </c>
    </row>
    <row r="103" spans="1:16" ht="18.75" customHeight="1">
      <c r="A103" s="135"/>
      <c r="B103" s="135" t="s">
        <v>20</v>
      </c>
      <c r="C103" s="135">
        <f>Invoerensolo!$F$16</f>
        <v>0</v>
      </c>
      <c r="D103" s="96"/>
      <c r="F103" s="135"/>
      <c r="G103" s="135"/>
      <c r="H103" s="155"/>
      <c r="J103" s="152"/>
      <c r="L103" s="156" t="s">
        <v>17</v>
      </c>
      <c r="N103" s="142"/>
      <c r="O103" s="143">
        <f>Invoerensolo!$C$16</f>
        <v>0</v>
      </c>
      <c r="P103" s="157"/>
    </row>
    <row r="104" spans="1:10" ht="18.75" customHeight="1">
      <c r="A104" s="135"/>
      <c r="B104" s="135"/>
      <c r="C104" s="135"/>
      <c r="F104" s="135"/>
      <c r="G104" s="135"/>
      <c r="H104" s="147"/>
      <c r="I104" s="156"/>
      <c r="J104" s="152"/>
    </row>
    <row r="105" spans="1:16" ht="18.75" customHeight="1">
      <c r="A105" s="155">
        <f>Invoerensolo!$B$17</f>
        <v>4</v>
      </c>
      <c r="B105" s="161">
        <f>Invoerensolo!$D$17</f>
        <v>0</v>
      </c>
      <c r="C105" s="125">
        <f>Invoerensolo!M101</f>
        <v>0</v>
      </c>
      <c r="D105" s="126">
        <v>0.3</v>
      </c>
      <c r="E105" s="162">
        <f>Invoerensolo!$X$17</f>
        <v>0</v>
      </c>
      <c r="F105" s="162">
        <f>Invoerensolo!$Y$17</f>
        <v>0</v>
      </c>
      <c r="G105" s="162">
        <f>Invoerensolo!$Z$17</f>
        <v>0</v>
      </c>
      <c r="H105" s="163">
        <f>Invoerensolo!$AA$17</f>
        <v>0</v>
      </c>
      <c r="I105" s="163">
        <f>Invoerensolo!$AB$17</f>
        <v>0</v>
      </c>
      <c r="J105" s="136">
        <f>Invoerensolo!$AD$17</f>
        <v>0</v>
      </c>
      <c r="K105" s="130" t="s">
        <v>79</v>
      </c>
      <c r="L105" s="164" t="s">
        <v>80</v>
      </c>
      <c r="M105" s="165">
        <f>Invoerensolo!$C$1</f>
        <v>50</v>
      </c>
      <c r="N105" s="166" t="s">
        <v>81</v>
      </c>
      <c r="O105" s="167">
        <f>ROUND(Invoerensolo!$BR$17*Invoerensolo!$C$1/100,4)</f>
        <v>0</v>
      </c>
      <c r="P105" s="49">
        <f>Invoerensolo!$BS$17</f>
      </c>
    </row>
    <row r="106" spans="1:16" ht="18.75" customHeight="1">
      <c r="A106" s="135">
        <f>Invoerensolo!$I$17</f>
        <v>0</v>
      </c>
      <c r="B106" s="135">
        <f>Invoerensolo!$G$17</f>
        <v>0</v>
      </c>
      <c r="C106" s="135">
        <f>Invoerensolo!$H$17</f>
        <v>0</v>
      </c>
      <c r="D106" s="126">
        <v>0.4</v>
      </c>
      <c r="E106" s="127">
        <f>Invoerensolo!$AK$17</f>
        <v>0</v>
      </c>
      <c r="F106" s="127">
        <f>Invoerensolo!$AL$17</f>
        <v>0</v>
      </c>
      <c r="G106" s="127">
        <f>Invoerensolo!$AM$17</f>
        <v>0</v>
      </c>
      <c r="H106" s="128">
        <f>Invoerensolo!$AN$17</f>
        <v>0</v>
      </c>
      <c r="I106" s="128">
        <f>Invoerensolo!$AO$17</f>
        <v>0</v>
      </c>
      <c r="J106" s="136">
        <f>Invoerensolo!$AQ$17</f>
        <v>0</v>
      </c>
      <c r="K106" s="137" t="s">
        <v>82</v>
      </c>
      <c r="L106" s="138" t="s">
        <v>83</v>
      </c>
      <c r="M106" s="139">
        <f>Invoerensolo!$C$3</f>
        <v>0</v>
      </c>
      <c r="N106" s="140" t="s">
        <v>81</v>
      </c>
      <c r="O106" s="141">
        <f>ROUND(Invoerensolo!$O$17*Invoerensolo!$C$3/100,4)</f>
        <v>0</v>
      </c>
      <c r="P106" s="7">
        <f>Invoerensolo!$P$17</f>
      </c>
    </row>
    <row r="107" spans="1:11" ht="18.75" customHeight="1">
      <c r="A107" s="135">
        <f>Invoerensolo!$L$17</f>
        <v>0</v>
      </c>
      <c r="B107" s="135">
        <f>Invoerensolo!$J$17</f>
        <v>0</v>
      </c>
      <c r="C107" s="135">
        <f>Invoerensolo!$K$17</f>
        <v>0</v>
      </c>
      <c r="D107" s="126">
        <v>0.3</v>
      </c>
      <c r="E107" s="127">
        <f>Invoerensolo!$AX$17</f>
        <v>0</v>
      </c>
      <c r="F107" s="127">
        <f>Invoerensolo!$AY$17</f>
        <v>0</v>
      </c>
      <c r="G107" s="127">
        <f>Invoerensolo!$AZ$17</f>
        <v>0</v>
      </c>
      <c r="H107" s="128">
        <f>Invoerensolo!$BA$17</f>
        <v>0</v>
      </c>
      <c r="I107" s="128">
        <f>Invoerensolo!$BB$17</f>
        <v>0</v>
      </c>
      <c r="J107" s="136">
        <f>Invoerensolo!$BD$17</f>
        <v>0</v>
      </c>
      <c r="K107" s="137" t="s">
        <v>84</v>
      </c>
    </row>
    <row r="108" spans="1:10" ht="18.75" customHeight="1">
      <c r="A108" s="135"/>
      <c r="B108" s="135"/>
      <c r="C108" s="135"/>
      <c r="F108" s="144"/>
      <c r="G108" s="144"/>
      <c r="H108" s="145"/>
      <c r="I108" s="145"/>
      <c r="J108" s="146">
        <f>SUM(J105:J107)</f>
        <v>0</v>
      </c>
    </row>
    <row r="109" spans="1:11" ht="18.75" customHeight="1">
      <c r="A109" s="135"/>
      <c r="B109" s="135"/>
      <c r="C109" s="135"/>
      <c r="F109" s="135"/>
      <c r="G109" s="135"/>
      <c r="H109" s="147"/>
      <c r="I109" s="148" t="s">
        <v>85</v>
      </c>
      <c r="J109" s="149">
        <f>Invoerensolo!$BG$17</f>
        <v>0</v>
      </c>
      <c r="K109" s="137" t="s">
        <v>86</v>
      </c>
    </row>
    <row r="110" spans="1:16" ht="18.75" customHeight="1">
      <c r="A110" s="135"/>
      <c r="B110" s="135" t="s">
        <v>19</v>
      </c>
      <c r="C110" s="135">
        <f>Invoerensolo!$E$17</f>
        <v>0</v>
      </c>
      <c r="D110" s="96"/>
      <c r="F110" s="135"/>
      <c r="G110" s="135"/>
      <c r="H110" s="147"/>
      <c r="I110" s="148" t="s">
        <v>5</v>
      </c>
      <c r="J110" s="152">
        <f>Invoerensolo!$BH$17</f>
        <v>0</v>
      </c>
      <c r="L110" s="142" t="s">
        <v>95</v>
      </c>
      <c r="M110" s="142">
        <f>Invoerensolo!$C$2</f>
        <v>50</v>
      </c>
      <c r="N110" s="153" t="s">
        <v>81</v>
      </c>
      <c r="O110" s="154">
        <f>Invoerensolo!$BJ$17</f>
        <v>0</v>
      </c>
      <c r="P110" s="7">
        <f>Invoerensolo!$R$17</f>
      </c>
    </row>
    <row r="111" spans="1:16" ht="18.75" customHeight="1">
      <c r="A111" s="135"/>
      <c r="B111" s="135" t="s">
        <v>20</v>
      </c>
      <c r="C111" s="135">
        <f>Invoerensolo!$F$17</f>
        <v>0</v>
      </c>
      <c r="D111" s="96"/>
      <c r="F111" s="135"/>
      <c r="G111" s="135"/>
      <c r="H111" s="155"/>
      <c r="J111" s="152"/>
      <c r="L111" s="156" t="s">
        <v>17</v>
      </c>
      <c r="N111" s="142"/>
      <c r="O111" s="143">
        <f>Invoerensolo!$C$17</f>
        <v>0</v>
      </c>
      <c r="P111" s="157"/>
    </row>
    <row r="112" spans="1:10" ht="18.75" customHeight="1">
      <c r="A112" s="135"/>
      <c r="B112" s="135"/>
      <c r="C112" s="135"/>
      <c r="F112" s="135"/>
      <c r="G112" s="135"/>
      <c r="H112" s="147"/>
      <c r="I112" s="156"/>
      <c r="J112" s="152"/>
    </row>
    <row r="113" spans="1:16" ht="18.75" customHeight="1">
      <c r="A113" s="155">
        <f>Invoerensolo!$B$18</f>
        <v>4</v>
      </c>
      <c r="B113" s="161">
        <f>Invoerensolo!$D$18</f>
        <v>0</v>
      </c>
      <c r="C113" s="125">
        <f>Invoerensolo!M109</f>
        <v>0</v>
      </c>
      <c r="D113" s="126">
        <v>0.3</v>
      </c>
      <c r="E113" s="162">
        <f>Invoerensolo!$X$18</f>
        <v>0</v>
      </c>
      <c r="F113" s="162">
        <f>Invoerensolo!$Y$18</f>
        <v>0</v>
      </c>
      <c r="G113" s="162">
        <f>Invoerensolo!$Z$18</f>
        <v>0</v>
      </c>
      <c r="H113" s="163">
        <f>Invoerensolo!$AA$18</f>
        <v>0</v>
      </c>
      <c r="I113" s="163">
        <f>Invoerensolo!$AB$18</f>
        <v>0</v>
      </c>
      <c r="J113" s="136">
        <f>Invoerensolo!$AD$18</f>
        <v>0</v>
      </c>
      <c r="K113" s="130" t="s">
        <v>79</v>
      </c>
      <c r="L113" s="164" t="s">
        <v>80</v>
      </c>
      <c r="M113" s="165">
        <f>Invoerensolo!$C$1</f>
        <v>50</v>
      </c>
      <c r="N113" s="166" t="s">
        <v>81</v>
      </c>
      <c r="O113" s="167">
        <f>ROUND(Invoerensolo!$BR$18*Invoerensolo!$C$1/100,4)</f>
        <v>0</v>
      </c>
      <c r="P113" s="49">
        <f>Invoerensolo!$BS$18</f>
      </c>
    </row>
    <row r="114" spans="1:16" ht="18.75" customHeight="1">
      <c r="A114" s="135">
        <f>Invoerensolo!$I$18</f>
        <v>0</v>
      </c>
      <c r="B114" s="135">
        <f>Invoerensolo!$G$18</f>
        <v>0</v>
      </c>
      <c r="C114" s="135">
        <f>Invoerensolo!$H$18</f>
        <v>0</v>
      </c>
      <c r="D114" s="126">
        <v>0.4</v>
      </c>
      <c r="E114" s="127">
        <f>Invoerensolo!$AK$18</f>
        <v>0</v>
      </c>
      <c r="F114" s="127">
        <f>Invoerensolo!$AL$18</f>
        <v>0</v>
      </c>
      <c r="G114" s="127">
        <f>Invoerensolo!$AM$18</f>
        <v>0</v>
      </c>
      <c r="H114" s="128">
        <f>Invoerensolo!$AN$18</f>
        <v>0</v>
      </c>
      <c r="I114" s="128">
        <f>Invoerensolo!$AO$18</f>
        <v>0</v>
      </c>
      <c r="J114" s="136">
        <f>Invoerensolo!$AQ$18</f>
        <v>0</v>
      </c>
      <c r="K114" s="137" t="s">
        <v>82</v>
      </c>
      <c r="L114" s="138" t="s">
        <v>83</v>
      </c>
      <c r="M114" s="139">
        <f>Invoerensolo!$C$3</f>
        <v>0</v>
      </c>
      <c r="N114" s="140" t="s">
        <v>81</v>
      </c>
      <c r="O114" s="141">
        <f>ROUND(Invoerensolo!$O$18*Invoerensolo!$C$3/100,4)</f>
        <v>0</v>
      </c>
      <c r="P114" s="7">
        <f>Invoerensolo!$P$18</f>
      </c>
    </row>
    <row r="115" spans="1:11" ht="18.75" customHeight="1">
      <c r="A115" s="135">
        <f>Invoerensolo!$L$18</f>
        <v>0</v>
      </c>
      <c r="B115" s="135">
        <f>Invoerensolo!$J$18</f>
        <v>0</v>
      </c>
      <c r="C115" s="135">
        <f>Invoerensolo!$K$18</f>
        <v>0</v>
      </c>
      <c r="D115" s="126">
        <v>0.3</v>
      </c>
      <c r="E115" s="127">
        <f>Invoerensolo!$AX$18</f>
        <v>0</v>
      </c>
      <c r="F115" s="127">
        <f>Invoerensolo!$AY$18</f>
        <v>0</v>
      </c>
      <c r="G115" s="127">
        <f>Invoerensolo!$AZ$18</f>
        <v>0</v>
      </c>
      <c r="H115" s="128">
        <f>Invoerensolo!$BA$18</f>
        <v>0</v>
      </c>
      <c r="I115" s="128">
        <f>Invoerensolo!$BB$18</f>
        <v>0</v>
      </c>
      <c r="J115" s="136">
        <f>Invoerensolo!$BD$18</f>
        <v>0</v>
      </c>
      <c r="K115" s="137" t="s">
        <v>84</v>
      </c>
    </row>
    <row r="116" spans="1:10" ht="18.75" customHeight="1">
      <c r="A116" s="135"/>
      <c r="B116" s="135"/>
      <c r="C116" s="135"/>
      <c r="F116" s="144"/>
      <c r="G116" s="144"/>
      <c r="H116" s="145"/>
      <c r="I116" s="145"/>
      <c r="J116" s="146">
        <f>SUM(J113:J115)</f>
        <v>0</v>
      </c>
    </row>
    <row r="117" spans="1:11" ht="18.75" customHeight="1">
      <c r="A117" s="135"/>
      <c r="B117" s="135"/>
      <c r="C117" s="135"/>
      <c r="F117" s="135"/>
      <c r="G117" s="135"/>
      <c r="H117" s="147"/>
      <c r="I117" s="148" t="s">
        <v>85</v>
      </c>
      <c r="J117" s="149">
        <f>Invoerensolo!$BG$18</f>
        <v>0</v>
      </c>
      <c r="K117" s="137" t="s">
        <v>86</v>
      </c>
    </row>
    <row r="118" spans="1:16" ht="18.75" customHeight="1">
      <c r="A118" s="135"/>
      <c r="B118" s="135" t="s">
        <v>19</v>
      </c>
      <c r="C118" s="135">
        <f>Invoerensolo!$E$18</f>
        <v>0</v>
      </c>
      <c r="D118" s="96"/>
      <c r="F118" s="135"/>
      <c r="G118" s="135"/>
      <c r="H118" s="147"/>
      <c r="I118" s="148" t="s">
        <v>5</v>
      </c>
      <c r="J118" s="152">
        <f>Invoerensolo!$BH$18</f>
        <v>0</v>
      </c>
      <c r="L118" s="142" t="s">
        <v>95</v>
      </c>
      <c r="M118" s="142">
        <f>Invoerensolo!$C$2</f>
        <v>50</v>
      </c>
      <c r="N118" s="153" t="s">
        <v>81</v>
      </c>
      <c r="O118" s="154">
        <f>Invoerensolo!$BJ$18</f>
        <v>0</v>
      </c>
      <c r="P118" s="7">
        <f>Invoerensolo!$R$18</f>
      </c>
    </row>
    <row r="119" spans="1:16" ht="18.75" customHeight="1">
      <c r="A119" s="135"/>
      <c r="B119" s="135" t="s">
        <v>20</v>
      </c>
      <c r="C119" s="135">
        <f>Invoerensolo!$F$18</f>
        <v>0</v>
      </c>
      <c r="D119" s="96"/>
      <c r="F119" s="135"/>
      <c r="G119" s="135"/>
      <c r="H119" s="155"/>
      <c r="J119" s="152"/>
      <c r="L119" s="156" t="s">
        <v>17</v>
      </c>
      <c r="N119" s="142"/>
      <c r="O119" s="143">
        <f>Invoerensolo!$C$18</f>
        <v>0</v>
      </c>
      <c r="P119" s="157"/>
    </row>
    <row r="120" spans="1:10" ht="18.75" customHeight="1">
      <c r="A120" s="135"/>
      <c r="B120" s="135"/>
      <c r="C120" s="135"/>
      <c r="F120" s="135"/>
      <c r="G120" s="135"/>
      <c r="H120" s="147"/>
      <c r="I120" s="156"/>
      <c r="J120" s="152"/>
    </row>
    <row r="121" spans="1:16" ht="18.75" customHeight="1">
      <c r="A121" s="155">
        <f>Invoerensolo!$B$19</f>
        <v>4</v>
      </c>
      <c r="B121" s="161">
        <f>Invoerensolo!$D$19</f>
        <v>0</v>
      </c>
      <c r="C121" s="125">
        <f>Invoerensolo!M117</f>
        <v>0</v>
      </c>
      <c r="D121" s="126">
        <v>0.3</v>
      </c>
      <c r="E121" s="162">
        <f>Invoerensolo!$X$19</f>
        <v>0</v>
      </c>
      <c r="F121" s="162">
        <f>Invoerensolo!$Y$19</f>
        <v>0</v>
      </c>
      <c r="G121" s="162">
        <f>Invoerensolo!$Z$19</f>
        <v>0</v>
      </c>
      <c r="H121" s="163">
        <f>Invoerensolo!$AA$19</f>
        <v>0</v>
      </c>
      <c r="I121" s="163">
        <f>Invoerensolo!$AB$19</f>
        <v>0</v>
      </c>
      <c r="J121" s="136">
        <f>Invoerensolo!$AD$19</f>
        <v>0</v>
      </c>
      <c r="K121" s="130" t="s">
        <v>79</v>
      </c>
      <c r="L121" s="164" t="s">
        <v>80</v>
      </c>
      <c r="M121" s="165">
        <f>Invoerensolo!$C$1</f>
        <v>50</v>
      </c>
      <c r="N121" s="166" t="s">
        <v>81</v>
      </c>
      <c r="O121" s="167">
        <f>ROUND(Invoerensolo!$BR$19*Invoerensolo!$C$1/100,4)</f>
        <v>0</v>
      </c>
      <c r="P121" s="49">
        <f>Invoerensolo!$BS$19</f>
      </c>
    </row>
    <row r="122" spans="1:16" ht="18.75" customHeight="1">
      <c r="A122" s="135">
        <f>Invoerensolo!$I$19</f>
        <v>0</v>
      </c>
      <c r="B122" s="135">
        <f>Invoerensolo!$G$19</f>
        <v>0</v>
      </c>
      <c r="C122" s="135">
        <f>Invoerensolo!$H$19</f>
        <v>0</v>
      </c>
      <c r="D122" s="126">
        <v>0.4</v>
      </c>
      <c r="E122" s="127">
        <f>Invoerensolo!$AK$19</f>
        <v>0</v>
      </c>
      <c r="F122" s="127">
        <f>Invoerensolo!$AL$19</f>
        <v>0</v>
      </c>
      <c r="G122" s="127">
        <f>Invoerensolo!$AM$19</f>
        <v>0</v>
      </c>
      <c r="H122" s="128">
        <f>Invoerensolo!$AN$19</f>
        <v>0</v>
      </c>
      <c r="I122" s="128">
        <f>Invoerensolo!$AO$19</f>
        <v>0</v>
      </c>
      <c r="J122" s="136">
        <f>Invoerensolo!$AQ$19</f>
        <v>0</v>
      </c>
      <c r="K122" s="137" t="s">
        <v>82</v>
      </c>
      <c r="L122" s="138" t="s">
        <v>83</v>
      </c>
      <c r="M122" s="139">
        <f>Invoerensolo!$C$3</f>
        <v>0</v>
      </c>
      <c r="N122" s="140" t="s">
        <v>81</v>
      </c>
      <c r="O122" s="141">
        <f>ROUND(Invoerensolo!$O$19*Invoerensolo!$C$3/100,4)</f>
        <v>0</v>
      </c>
      <c r="P122" s="7">
        <f>Invoerensolo!$P$19</f>
      </c>
    </row>
    <row r="123" spans="1:11" ht="18.75" customHeight="1">
      <c r="A123" s="135">
        <f>Invoerensolo!$L$19</f>
        <v>0</v>
      </c>
      <c r="B123" s="135">
        <f>Invoerensolo!$J$19</f>
        <v>0</v>
      </c>
      <c r="C123" s="135">
        <f>Invoerensolo!$K$19</f>
        <v>0</v>
      </c>
      <c r="D123" s="126">
        <v>0.3</v>
      </c>
      <c r="E123" s="127">
        <f>Invoerensolo!$AX$19</f>
        <v>0</v>
      </c>
      <c r="F123" s="127">
        <f>Invoerensolo!$AY$19</f>
        <v>0</v>
      </c>
      <c r="G123" s="127">
        <f>Invoerensolo!$AZ$19</f>
        <v>0</v>
      </c>
      <c r="H123" s="128">
        <f>Invoerensolo!$BA$19</f>
        <v>0</v>
      </c>
      <c r="I123" s="128">
        <f>Invoerensolo!$BB$19</f>
        <v>0</v>
      </c>
      <c r="J123" s="136">
        <f>Invoerensolo!$BD$19</f>
        <v>0</v>
      </c>
      <c r="K123" s="137" t="s">
        <v>84</v>
      </c>
    </row>
    <row r="124" spans="1:10" ht="18.75" customHeight="1">
      <c r="A124" s="135"/>
      <c r="B124" s="135"/>
      <c r="C124" s="135"/>
      <c r="F124" s="144"/>
      <c r="G124" s="144"/>
      <c r="H124" s="145"/>
      <c r="I124" s="145"/>
      <c r="J124" s="146">
        <f>SUM(J121:J123)</f>
        <v>0</v>
      </c>
    </row>
    <row r="125" spans="1:11" ht="18.75" customHeight="1">
      <c r="A125" s="135"/>
      <c r="B125" s="135"/>
      <c r="C125" s="135"/>
      <c r="F125" s="135"/>
      <c r="G125" s="135"/>
      <c r="H125" s="147"/>
      <c r="I125" s="148" t="s">
        <v>85</v>
      </c>
      <c r="J125" s="149">
        <f>Invoerensolo!$BG$19</f>
        <v>0</v>
      </c>
      <c r="K125" s="137" t="s">
        <v>86</v>
      </c>
    </row>
    <row r="126" spans="1:16" ht="18.75" customHeight="1">
      <c r="A126" s="135"/>
      <c r="B126" s="135" t="s">
        <v>19</v>
      </c>
      <c r="C126" s="135">
        <f>Invoerensolo!$E$19</f>
        <v>0</v>
      </c>
      <c r="D126" s="96"/>
      <c r="F126" s="135"/>
      <c r="G126" s="135"/>
      <c r="H126" s="147"/>
      <c r="I126" s="148" t="s">
        <v>5</v>
      </c>
      <c r="J126" s="152">
        <f>Invoerensolo!$BH$19</f>
        <v>0</v>
      </c>
      <c r="L126" s="142" t="s">
        <v>95</v>
      </c>
      <c r="M126" s="142">
        <f>Invoerensolo!$C$2</f>
        <v>50</v>
      </c>
      <c r="N126" s="153" t="s">
        <v>81</v>
      </c>
      <c r="O126" s="154">
        <f>Invoerensolo!$BJ$19</f>
        <v>0</v>
      </c>
      <c r="P126" s="7">
        <f>Invoerensolo!$R$19</f>
      </c>
    </row>
    <row r="127" spans="1:16" ht="18.75" customHeight="1">
      <c r="A127" s="135"/>
      <c r="B127" s="135" t="s">
        <v>20</v>
      </c>
      <c r="C127" s="135">
        <f>Invoerensolo!$F$19</f>
        <v>0</v>
      </c>
      <c r="D127" s="96"/>
      <c r="F127" s="135"/>
      <c r="G127" s="135"/>
      <c r="H127" s="155"/>
      <c r="J127" s="152"/>
      <c r="L127" s="156" t="s">
        <v>17</v>
      </c>
      <c r="N127" s="142"/>
      <c r="O127" s="143">
        <f>Invoerensolo!$C$19</f>
        <v>0</v>
      </c>
      <c r="P127" s="157"/>
    </row>
    <row r="128" spans="1:10" ht="18.75" customHeight="1">
      <c r="A128" s="135"/>
      <c r="B128" s="135"/>
      <c r="C128" s="135"/>
      <c r="F128" s="135"/>
      <c r="G128" s="135"/>
      <c r="H128" s="147"/>
      <c r="I128" s="156"/>
      <c r="J128" s="152"/>
    </row>
    <row r="129" spans="1:16" ht="18.75" customHeight="1">
      <c r="A129" s="155">
        <f>Invoerensolo!$B$20</f>
        <v>4</v>
      </c>
      <c r="B129" s="161">
        <f>Invoerensolo!$D$20</f>
        <v>0</v>
      </c>
      <c r="C129" s="125">
        <f>Invoerensolo!M125</f>
        <v>0</v>
      </c>
      <c r="D129" s="126">
        <v>0.3</v>
      </c>
      <c r="E129" s="162">
        <f>Invoerensolo!$X$20</f>
        <v>0</v>
      </c>
      <c r="F129" s="162">
        <f>Invoerensolo!$Y$20</f>
        <v>0</v>
      </c>
      <c r="G129" s="162">
        <f>Invoerensolo!$Z$20</f>
        <v>0</v>
      </c>
      <c r="H129" s="163">
        <f>Invoerensolo!$AA$20</f>
        <v>0</v>
      </c>
      <c r="I129" s="163">
        <f>Invoerensolo!$AB$20</f>
        <v>0</v>
      </c>
      <c r="J129" s="136">
        <f>Invoerensolo!$AD$20</f>
        <v>0</v>
      </c>
      <c r="K129" s="130" t="s">
        <v>79</v>
      </c>
      <c r="L129" s="164" t="s">
        <v>80</v>
      </c>
      <c r="M129" s="165">
        <f>Invoerensolo!$C$1</f>
        <v>50</v>
      </c>
      <c r="N129" s="166" t="s">
        <v>81</v>
      </c>
      <c r="O129" s="167">
        <f>ROUND(Invoerensolo!$BR$20*Invoerensolo!$C$1/100,4)</f>
        <v>0</v>
      </c>
      <c r="P129" s="49">
        <f>Invoerensolo!$BS$20</f>
      </c>
    </row>
    <row r="130" spans="1:16" ht="18.75" customHeight="1">
      <c r="A130" s="135">
        <f>Invoerensolo!$I$20</f>
        <v>0</v>
      </c>
      <c r="B130" s="135">
        <f>Invoerensolo!$G$20</f>
        <v>0</v>
      </c>
      <c r="C130" s="135">
        <f>Invoerensolo!$H$20</f>
        <v>0</v>
      </c>
      <c r="D130" s="126">
        <v>0.4</v>
      </c>
      <c r="E130" s="127">
        <f>Invoerensolo!$AK$20</f>
        <v>0</v>
      </c>
      <c r="F130" s="127">
        <f>Invoerensolo!$AL$20</f>
        <v>0</v>
      </c>
      <c r="G130" s="127">
        <f>Invoerensolo!$AM$20</f>
        <v>0</v>
      </c>
      <c r="H130" s="128">
        <f>Invoerensolo!$AN$20</f>
        <v>0</v>
      </c>
      <c r="I130" s="128">
        <f>Invoerensolo!$AO$20</f>
        <v>0</v>
      </c>
      <c r="J130" s="136">
        <f>Invoerensolo!$AQ$20</f>
        <v>0</v>
      </c>
      <c r="K130" s="137" t="s">
        <v>82</v>
      </c>
      <c r="L130" s="138" t="s">
        <v>83</v>
      </c>
      <c r="M130" s="139">
        <f>Invoerensolo!$C$3</f>
        <v>0</v>
      </c>
      <c r="N130" s="140" t="s">
        <v>81</v>
      </c>
      <c r="O130" s="141">
        <f>ROUND(Invoerensolo!$O$20*Invoerensolo!$C$3/100,4)</f>
        <v>0</v>
      </c>
      <c r="P130" s="7">
        <f>Invoerensolo!$P$20</f>
      </c>
    </row>
    <row r="131" spans="1:11" ht="18.75" customHeight="1">
      <c r="A131" s="135">
        <f>Invoerensolo!$L$20</f>
        <v>0</v>
      </c>
      <c r="B131" s="135">
        <f>Invoerensolo!$J$20</f>
        <v>0</v>
      </c>
      <c r="C131" s="135">
        <f>Invoerensolo!$K$20</f>
        <v>0</v>
      </c>
      <c r="D131" s="126">
        <v>0.3</v>
      </c>
      <c r="E131" s="127">
        <f>Invoerensolo!$AX$20</f>
        <v>0</v>
      </c>
      <c r="F131" s="127">
        <f>Invoerensolo!$AY$20</f>
        <v>0</v>
      </c>
      <c r="G131" s="127">
        <f>Invoerensolo!$AZ$20</f>
        <v>0</v>
      </c>
      <c r="H131" s="128">
        <f>Invoerensolo!$BA$20</f>
        <v>0</v>
      </c>
      <c r="I131" s="128">
        <f>Invoerensolo!$BB$20</f>
        <v>0</v>
      </c>
      <c r="J131" s="136">
        <f>Invoerensolo!$BD$20</f>
        <v>0</v>
      </c>
      <c r="K131" s="137" t="s">
        <v>84</v>
      </c>
    </row>
    <row r="132" spans="1:10" ht="18.75" customHeight="1">
      <c r="A132" s="135"/>
      <c r="B132" s="135"/>
      <c r="C132" s="135"/>
      <c r="F132" s="144"/>
      <c r="G132" s="144"/>
      <c r="H132" s="145"/>
      <c r="I132" s="145"/>
      <c r="J132" s="146">
        <f>SUM(J129:J131)</f>
        <v>0</v>
      </c>
    </row>
    <row r="133" spans="1:11" ht="18.75" customHeight="1">
      <c r="A133" s="135"/>
      <c r="B133" s="135"/>
      <c r="C133" s="135"/>
      <c r="F133" s="135"/>
      <c r="G133" s="135"/>
      <c r="H133" s="147"/>
      <c r="I133" s="148" t="s">
        <v>85</v>
      </c>
      <c r="J133" s="149">
        <f>Invoerensolo!$BG$20</f>
        <v>0</v>
      </c>
      <c r="K133" s="137" t="s">
        <v>86</v>
      </c>
    </row>
    <row r="134" spans="1:16" ht="18.75" customHeight="1">
      <c r="A134" s="135"/>
      <c r="B134" s="135" t="s">
        <v>19</v>
      </c>
      <c r="C134" s="135">
        <f>Invoerensolo!$E$20</f>
        <v>0</v>
      </c>
      <c r="D134" s="96"/>
      <c r="F134" s="135"/>
      <c r="G134" s="135"/>
      <c r="H134" s="147"/>
      <c r="I134" s="148" t="s">
        <v>5</v>
      </c>
      <c r="J134" s="152">
        <f>Invoerensolo!$BH$20</f>
        <v>0</v>
      </c>
      <c r="L134" s="142" t="s">
        <v>95</v>
      </c>
      <c r="M134" s="142">
        <f>Invoerensolo!$C$2</f>
        <v>50</v>
      </c>
      <c r="N134" s="153" t="s">
        <v>81</v>
      </c>
      <c r="O134" s="154">
        <f>Invoerensolo!$BJ$20</f>
        <v>0</v>
      </c>
      <c r="P134" s="7">
        <f>Invoerensolo!$R$20</f>
      </c>
    </row>
    <row r="135" spans="1:16" ht="18.75" customHeight="1">
      <c r="A135" s="135"/>
      <c r="B135" s="135" t="s">
        <v>20</v>
      </c>
      <c r="C135" s="135">
        <f>Invoerensolo!$F$20</f>
        <v>0</v>
      </c>
      <c r="D135" s="96"/>
      <c r="F135" s="135"/>
      <c r="G135" s="135"/>
      <c r="H135" s="155"/>
      <c r="J135" s="152"/>
      <c r="L135" s="156" t="s">
        <v>17</v>
      </c>
      <c r="N135" s="142"/>
      <c r="O135" s="143">
        <f>Invoerensolo!$C$20</f>
        <v>0</v>
      </c>
      <c r="P135" s="157"/>
    </row>
    <row r="136" spans="1:10" ht="18.75" customHeight="1">
      <c r="A136" s="135"/>
      <c r="B136" s="135"/>
      <c r="C136" s="135"/>
      <c r="F136" s="135"/>
      <c r="G136" s="135"/>
      <c r="H136" s="147"/>
      <c r="I136" s="156"/>
      <c r="J136" s="152"/>
    </row>
    <row r="137" spans="1:16" ht="18.75" customHeight="1">
      <c r="A137" s="155">
        <f>Invoerensolo!$B$21</f>
        <v>4</v>
      </c>
      <c r="B137" s="161">
        <f>Invoerensolo!$D$21</f>
        <v>0</v>
      </c>
      <c r="C137" s="125">
        <f>Invoerensolo!M133</f>
        <v>0</v>
      </c>
      <c r="D137" s="126">
        <v>0.3</v>
      </c>
      <c r="E137" s="162">
        <f>Invoerensolo!$X$21</f>
        <v>0</v>
      </c>
      <c r="F137" s="162">
        <f>Invoerensolo!$Y$21</f>
        <v>0</v>
      </c>
      <c r="G137" s="162">
        <f>Invoerensolo!$Z$21</f>
        <v>0</v>
      </c>
      <c r="H137" s="163">
        <f>Invoerensolo!$AA$21</f>
        <v>0</v>
      </c>
      <c r="I137" s="163">
        <f>Invoerensolo!$AB$21</f>
        <v>0</v>
      </c>
      <c r="J137" s="136">
        <f>Invoerensolo!$AD$21</f>
        <v>0</v>
      </c>
      <c r="K137" s="130" t="s">
        <v>79</v>
      </c>
      <c r="L137" s="164" t="s">
        <v>80</v>
      </c>
      <c r="M137" s="165">
        <f>Invoerensolo!$C$1</f>
        <v>50</v>
      </c>
      <c r="N137" s="166" t="s">
        <v>81</v>
      </c>
      <c r="O137" s="167">
        <f>ROUND(Invoerensolo!$BR$21*Invoerensolo!$C$1/100,4)</f>
        <v>0</v>
      </c>
      <c r="P137" s="49">
        <f>Invoerensolo!$BS$21</f>
      </c>
    </row>
    <row r="138" spans="1:16" ht="18.75" customHeight="1">
      <c r="A138" s="135">
        <f>Invoerensolo!$I$21</f>
        <v>0</v>
      </c>
      <c r="B138" s="135">
        <f>Invoerensolo!$G$21</f>
        <v>0</v>
      </c>
      <c r="C138" s="135">
        <f>Invoerensolo!$H$21</f>
        <v>0</v>
      </c>
      <c r="D138" s="126">
        <v>0.4</v>
      </c>
      <c r="E138" s="127">
        <f>Invoerensolo!$AK$21</f>
        <v>0</v>
      </c>
      <c r="F138" s="127">
        <f>Invoerensolo!$AL$21</f>
        <v>0</v>
      </c>
      <c r="G138" s="127">
        <f>Invoerensolo!$AM$21</f>
        <v>0</v>
      </c>
      <c r="H138" s="128">
        <f>Invoerensolo!$AN$21</f>
        <v>0</v>
      </c>
      <c r="I138" s="128">
        <f>Invoerensolo!$AO$21</f>
        <v>0</v>
      </c>
      <c r="J138" s="136">
        <f>Invoerensolo!$AQ$21</f>
        <v>0</v>
      </c>
      <c r="K138" s="137" t="s">
        <v>82</v>
      </c>
      <c r="L138" s="138" t="s">
        <v>83</v>
      </c>
      <c r="M138" s="139">
        <f>Invoerensolo!$C$3</f>
        <v>0</v>
      </c>
      <c r="N138" s="140" t="s">
        <v>81</v>
      </c>
      <c r="O138" s="141">
        <f>ROUND(Invoerensolo!$O$21*Invoerensolo!$C$3/100,4)</f>
        <v>0</v>
      </c>
      <c r="P138" s="7">
        <f>Invoerensolo!$P$21</f>
      </c>
    </row>
    <row r="139" spans="1:11" ht="18.75" customHeight="1">
      <c r="A139" s="135">
        <f>Invoerensolo!$L$21</f>
        <v>0</v>
      </c>
      <c r="B139" s="135">
        <f>Invoerensolo!$J$21</f>
        <v>0</v>
      </c>
      <c r="C139" s="135">
        <f>Invoerensolo!$K$21</f>
        <v>0</v>
      </c>
      <c r="D139" s="126">
        <v>0.3</v>
      </c>
      <c r="E139" s="127">
        <f>Invoerensolo!$AX$21</f>
        <v>0</v>
      </c>
      <c r="F139" s="127">
        <f>Invoerensolo!$AY$21</f>
        <v>0</v>
      </c>
      <c r="G139" s="127">
        <f>Invoerensolo!$AZ$21</f>
        <v>0</v>
      </c>
      <c r="H139" s="128">
        <f>Invoerensolo!$BA$21</f>
        <v>0</v>
      </c>
      <c r="I139" s="128">
        <f>Invoerensolo!$BB$21</f>
        <v>0</v>
      </c>
      <c r="J139" s="136">
        <f>Invoerensolo!$BD$21</f>
        <v>0</v>
      </c>
      <c r="K139" s="137" t="s">
        <v>84</v>
      </c>
    </row>
    <row r="140" spans="1:10" ht="18.75" customHeight="1">
      <c r="A140" s="135"/>
      <c r="B140" s="135"/>
      <c r="C140" s="135"/>
      <c r="F140" s="144"/>
      <c r="G140" s="144"/>
      <c r="H140" s="145"/>
      <c r="I140" s="145"/>
      <c r="J140" s="146">
        <f>SUM(J137:J139)</f>
        <v>0</v>
      </c>
    </row>
    <row r="141" spans="1:11" ht="18.75" customHeight="1">
      <c r="A141" s="135"/>
      <c r="B141" s="135"/>
      <c r="C141" s="135"/>
      <c r="F141" s="135"/>
      <c r="G141" s="135"/>
      <c r="H141" s="147"/>
      <c r="I141" s="148" t="s">
        <v>85</v>
      </c>
      <c r="J141" s="149">
        <f>Invoerensolo!$BG$21</f>
        <v>0</v>
      </c>
      <c r="K141" s="137" t="s">
        <v>86</v>
      </c>
    </row>
    <row r="142" spans="1:16" ht="18.75" customHeight="1">
      <c r="A142" s="135"/>
      <c r="B142" s="135" t="s">
        <v>19</v>
      </c>
      <c r="C142" s="135">
        <f>Invoerensolo!$E$21</f>
        <v>0</v>
      </c>
      <c r="D142" s="96"/>
      <c r="F142" s="135"/>
      <c r="G142" s="135"/>
      <c r="H142" s="147"/>
      <c r="I142" s="148" t="s">
        <v>5</v>
      </c>
      <c r="J142" s="152">
        <f>Invoerensolo!$BH$21</f>
        <v>0</v>
      </c>
      <c r="L142" s="142" t="s">
        <v>95</v>
      </c>
      <c r="M142" s="142">
        <f>Invoerensolo!$C$2</f>
        <v>50</v>
      </c>
      <c r="N142" s="153" t="s">
        <v>81</v>
      </c>
      <c r="O142" s="154">
        <f>Invoerensolo!$BJ$21</f>
        <v>0</v>
      </c>
      <c r="P142" s="7">
        <f>Invoerensolo!$R$21</f>
      </c>
    </row>
    <row r="143" spans="1:16" ht="18.75" customHeight="1">
      <c r="A143" s="135"/>
      <c r="B143" s="135" t="s">
        <v>20</v>
      </c>
      <c r="C143" s="135">
        <f>Invoerensolo!$F$21</f>
        <v>0</v>
      </c>
      <c r="D143" s="96"/>
      <c r="F143" s="135"/>
      <c r="G143" s="135"/>
      <c r="H143" s="155"/>
      <c r="J143" s="152"/>
      <c r="L143" s="156" t="s">
        <v>17</v>
      </c>
      <c r="N143" s="142"/>
      <c r="O143" s="143">
        <f>Invoerensolo!$C$21</f>
        <v>0</v>
      </c>
      <c r="P143" s="157"/>
    </row>
    <row r="144" spans="1:10" ht="18.75" customHeight="1">
      <c r="A144" s="135"/>
      <c r="B144" s="135"/>
      <c r="C144" s="135"/>
      <c r="F144" s="135"/>
      <c r="G144" s="135"/>
      <c r="H144" s="147"/>
      <c r="I144" s="156"/>
      <c r="J144" s="152"/>
    </row>
    <row r="145" spans="1:16" ht="18.75" customHeight="1">
      <c r="A145" s="155">
        <f>Invoerensolo!$B$22</f>
        <v>4</v>
      </c>
      <c r="B145" s="161">
        <f>Invoerensolo!$D$22</f>
        <v>0</v>
      </c>
      <c r="C145" s="125">
        <f>Invoerensolo!M141</f>
        <v>0</v>
      </c>
      <c r="D145" s="126">
        <v>0.3</v>
      </c>
      <c r="E145" s="162">
        <f>Invoerensolo!$X$22</f>
        <v>0</v>
      </c>
      <c r="F145" s="162">
        <f>Invoerensolo!$Y$22</f>
        <v>0</v>
      </c>
      <c r="G145" s="162">
        <f>Invoerensolo!$Z$22</f>
        <v>0</v>
      </c>
      <c r="H145" s="163">
        <f>Invoerensolo!$AA$22</f>
        <v>0</v>
      </c>
      <c r="I145" s="163">
        <f>Invoerensolo!$AB$22</f>
        <v>0</v>
      </c>
      <c r="J145" s="136">
        <f>Invoerensolo!$AD$22</f>
        <v>0</v>
      </c>
      <c r="K145" s="130" t="s">
        <v>79</v>
      </c>
      <c r="L145" s="164" t="s">
        <v>80</v>
      </c>
      <c r="M145" s="165">
        <f>Invoerensolo!$C$1</f>
        <v>50</v>
      </c>
      <c r="N145" s="166" t="s">
        <v>81</v>
      </c>
      <c r="O145" s="167">
        <f>ROUND(Invoerensolo!$BR$22*Invoerensolo!$C$1/100,4)</f>
        <v>0</v>
      </c>
      <c r="P145" s="49">
        <f>Invoerensolo!$BS$22</f>
      </c>
    </row>
    <row r="146" spans="1:16" ht="18.75" customHeight="1">
      <c r="A146" s="135">
        <f>Invoerensolo!$I$22</f>
        <v>0</v>
      </c>
      <c r="B146" s="135">
        <f>Invoerensolo!$G$22</f>
        <v>0</v>
      </c>
      <c r="C146" s="135">
        <f>Invoerensolo!$H$22</f>
        <v>0</v>
      </c>
      <c r="D146" s="126">
        <v>0.4</v>
      </c>
      <c r="E146" s="127">
        <f>Invoerensolo!$AK$22</f>
        <v>0</v>
      </c>
      <c r="F146" s="127">
        <f>Invoerensolo!$AL$22</f>
        <v>0</v>
      </c>
      <c r="G146" s="127">
        <f>Invoerensolo!$AM$22</f>
        <v>0</v>
      </c>
      <c r="H146" s="128">
        <f>Invoerensolo!$AN$22</f>
        <v>0</v>
      </c>
      <c r="I146" s="128">
        <f>Invoerensolo!$AO$22</f>
        <v>0</v>
      </c>
      <c r="J146" s="136">
        <f>Invoerensolo!$AQ$22</f>
        <v>0</v>
      </c>
      <c r="K146" s="137" t="s">
        <v>82</v>
      </c>
      <c r="L146" s="138" t="s">
        <v>83</v>
      </c>
      <c r="M146" s="139">
        <f>Invoerensolo!$C$3</f>
        <v>0</v>
      </c>
      <c r="N146" s="140" t="s">
        <v>81</v>
      </c>
      <c r="O146" s="141">
        <f>ROUND(Invoerensolo!$O$22*Invoerensolo!$C$3/100,4)</f>
        <v>0</v>
      </c>
      <c r="P146" s="7">
        <f>Invoerensolo!$P$22</f>
      </c>
    </row>
    <row r="147" spans="1:11" ht="18.75" customHeight="1">
      <c r="A147" s="135">
        <f>Invoerensolo!$L$22</f>
        <v>0</v>
      </c>
      <c r="B147" s="135">
        <f>Invoerensolo!$J$22</f>
        <v>0</v>
      </c>
      <c r="C147" s="135">
        <f>Invoerensolo!$K$22</f>
        <v>0</v>
      </c>
      <c r="D147" s="126">
        <v>0.3</v>
      </c>
      <c r="E147" s="127">
        <f>Invoerensolo!$AX$22</f>
        <v>0</v>
      </c>
      <c r="F147" s="127">
        <f>Invoerensolo!$AY$22</f>
        <v>0</v>
      </c>
      <c r="G147" s="127">
        <f>Invoerensolo!$AZ$22</f>
        <v>0</v>
      </c>
      <c r="H147" s="128">
        <f>Invoerensolo!$BA$22</f>
        <v>0</v>
      </c>
      <c r="I147" s="128">
        <f>Invoerensolo!$BB$22</f>
        <v>0</v>
      </c>
      <c r="J147" s="136">
        <f>Invoerensolo!$BD$22</f>
        <v>0</v>
      </c>
      <c r="K147" s="137" t="s">
        <v>84</v>
      </c>
    </row>
    <row r="148" spans="1:10" ht="18.75" customHeight="1">
      <c r="A148" s="135"/>
      <c r="B148" s="135"/>
      <c r="C148" s="135"/>
      <c r="F148" s="144"/>
      <c r="G148" s="144"/>
      <c r="H148" s="145"/>
      <c r="I148" s="145"/>
      <c r="J148" s="146">
        <f>SUM(J145:J147)</f>
        <v>0</v>
      </c>
    </row>
    <row r="149" spans="1:11" ht="18.75" customHeight="1">
      <c r="A149" s="135"/>
      <c r="B149" s="135"/>
      <c r="C149" s="135"/>
      <c r="F149" s="135"/>
      <c r="G149" s="135"/>
      <c r="H149" s="147"/>
      <c r="I149" s="148" t="s">
        <v>85</v>
      </c>
      <c r="J149" s="149">
        <f>Invoerensolo!$BG$22</f>
        <v>0</v>
      </c>
      <c r="K149" s="137" t="s">
        <v>86</v>
      </c>
    </row>
    <row r="150" spans="1:16" ht="18.75" customHeight="1">
      <c r="A150" s="135"/>
      <c r="B150" s="135" t="s">
        <v>19</v>
      </c>
      <c r="C150" s="135">
        <f>Invoerensolo!$E$22</f>
        <v>0</v>
      </c>
      <c r="D150" s="96"/>
      <c r="F150" s="135"/>
      <c r="G150" s="135"/>
      <c r="H150" s="147"/>
      <c r="I150" s="148" t="s">
        <v>5</v>
      </c>
      <c r="J150" s="152">
        <f>Invoerensolo!$BH$22</f>
        <v>0</v>
      </c>
      <c r="L150" s="142" t="s">
        <v>95</v>
      </c>
      <c r="M150" s="142">
        <f>Invoerensolo!$C$2</f>
        <v>50</v>
      </c>
      <c r="N150" s="153" t="s">
        <v>81</v>
      </c>
      <c r="O150" s="154">
        <f>Invoerensolo!$BJ$22</f>
        <v>0</v>
      </c>
      <c r="P150" s="7">
        <f>Invoerensolo!$R$22</f>
      </c>
    </row>
    <row r="151" spans="1:16" ht="18.75" customHeight="1">
      <c r="A151" s="135"/>
      <c r="B151" s="135" t="s">
        <v>20</v>
      </c>
      <c r="C151" s="135">
        <f>Invoerensolo!$F$22</f>
        <v>0</v>
      </c>
      <c r="D151" s="96"/>
      <c r="F151" s="135"/>
      <c r="G151" s="135"/>
      <c r="H151" s="155"/>
      <c r="J151" s="152"/>
      <c r="L151" s="156" t="s">
        <v>17</v>
      </c>
      <c r="N151" s="142"/>
      <c r="O151" s="143">
        <f>Invoerensolo!$C$22</f>
        <v>0</v>
      </c>
      <c r="P151" s="157"/>
    </row>
    <row r="152" spans="1:10" ht="18.75" customHeight="1">
      <c r="A152" s="135"/>
      <c r="B152" s="135"/>
      <c r="C152" s="135"/>
      <c r="F152" s="135"/>
      <c r="G152" s="135"/>
      <c r="H152" s="147"/>
      <c r="I152" s="156"/>
      <c r="J152" s="152"/>
    </row>
    <row r="153" spans="1:16" ht="18.75" customHeight="1">
      <c r="A153" s="155">
        <f>Invoerensolo!$B$23</f>
        <v>4</v>
      </c>
      <c r="B153" s="161">
        <f>Invoerensolo!$D$23</f>
        <v>0</v>
      </c>
      <c r="C153" s="125">
        <f>Invoerensolo!M149</f>
        <v>0</v>
      </c>
      <c r="D153" s="126">
        <v>0.3</v>
      </c>
      <c r="E153" s="162">
        <f>Invoerensolo!$X$23</f>
        <v>0</v>
      </c>
      <c r="F153" s="162">
        <f>Invoerensolo!$Y$23</f>
        <v>0</v>
      </c>
      <c r="G153" s="162">
        <f>Invoerensolo!$Z$23</f>
        <v>0</v>
      </c>
      <c r="H153" s="163">
        <f>Invoerensolo!$AA$23</f>
        <v>0</v>
      </c>
      <c r="I153" s="163">
        <f>Invoerensolo!$AB$23</f>
        <v>0</v>
      </c>
      <c r="J153" s="136">
        <f>Invoerensolo!$AD$23</f>
        <v>0</v>
      </c>
      <c r="K153" s="130" t="s">
        <v>79</v>
      </c>
      <c r="L153" s="164" t="s">
        <v>80</v>
      </c>
      <c r="M153" s="165">
        <f>Invoerensolo!$C$1</f>
        <v>50</v>
      </c>
      <c r="N153" s="166" t="s">
        <v>81</v>
      </c>
      <c r="O153" s="167">
        <f>ROUND(Invoerensolo!$BR$23*Invoerensolo!$C$1/100,4)</f>
        <v>0</v>
      </c>
      <c r="P153" s="49">
        <f>Invoerensolo!$BS$23</f>
      </c>
    </row>
    <row r="154" spans="1:16" ht="18.75" customHeight="1">
      <c r="A154" s="135">
        <f>Invoerensolo!$I$23</f>
        <v>0</v>
      </c>
      <c r="B154" s="135">
        <f>Invoerensolo!$G$23</f>
        <v>0</v>
      </c>
      <c r="C154" s="135">
        <f>Invoerensolo!$H$23</f>
        <v>0</v>
      </c>
      <c r="D154" s="126">
        <v>0.4</v>
      </c>
      <c r="E154" s="127">
        <f>Invoerensolo!$AK$23</f>
        <v>0</v>
      </c>
      <c r="F154" s="127">
        <f>Invoerensolo!$AL$23</f>
        <v>0</v>
      </c>
      <c r="G154" s="127">
        <f>Invoerensolo!$AM$23</f>
        <v>0</v>
      </c>
      <c r="H154" s="128">
        <f>Invoerensolo!$AN$23</f>
        <v>0</v>
      </c>
      <c r="I154" s="128">
        <f>Invoerensolo!$AO$23</f>
        <v>0</v>
      </c>
      <c r="J154" s="136">
        <f>Invoerensolo!$AQ$23</f>
        <v>0</v>
      </c>
      <c r="K154" s="137" t="s">
        <v>82</v>
      </c>
      <c r="L154" s="138" t="s">
        <v>83</v>
      </c>
      <c r="M154" s="139">
        <f>Invoerensolo!$C$3</f>
        <v>0</v>
      </c>
      <c r="N154" s="140" t="s">
        <v>81</v>
      </c>
      <c r="O154" s="141">
        <f>ROUND(Invoerensolo!$O$23*Invoerensolo!$C$3/100,4)</f>
        <v>0</v>
      </c>
      <c r="P154" s="7">
        <f>Invoerensolo!$P$23</f>
      </c>
    </row>
    <row r="155" spans="1:11" ht="18.75" customHeight="1">
      <c r="A155" s="135">
        <f>Invoerensolo!$L$23</f>
        <v>0</v>
      </c>
      <c r="B155" s="135">
        <f>Invoerensolo!$J$23</f>
        <v>0</v>
      </c>
      <c r="C155" s="135">
        <f>Invoerensolo!$K$23</f>
        <v>0</v>
      </c>
      <c r="D155" s="126">
        <v>0.3</v>
      </c>
      <c r="E155" s="127">
        <f>Invoerensolo!$AX$23</f>
        <v>0</v>
      </c>
      <c r="F155" s="127">
        <f>Invoerensolo!$AY$23</f>
        <v>0</v>
      </c>
      <c r="G155" s="127">
        <f>Invoerensolo!$AZ$23</f>
        <v>0</v>
      </c>
      <c r="H155" s="128">
        <f>Invoerensolo!$BA$23</f>
        <v>0</v>
      </c>
      <c r="I155" s="128">
        <f>Invoerensolo!$BB$23</f>
        <v>0</v>
      </c>
      <c r="J155" s="136">
        <f>Invoerensolo!$BD$23</f>
        <v>0</v>
      </c>
      <c r="K155" s="137" t="s">
        <v>84</v>
      </c>
    </row>
    <row r="156" spans="1:10" ht="18.75" customHeight="1">
      <c r="A156" s="135"/>
      <c r="B156" s="135"/>
      <c r="C156" s="135"/>
      <c r="F156" s="144"/>
      <c r="G156" s="144"/>
      <c r="H156" s="145"/>
      <c r="I156" s="145"/>
      <c r="J156" s="146">
        <f>SUM(J153:J155)</f>
        <v>0</v>
      </c>
    </row>
    <row r="157" spans="1:11" ht="18.75" customHeight="1">
      <c r="A157" s="135"/>
      <c r="B157" s="135"/>
      <c r="C157" s="135"/>
      <c r="F157" s="135"/>
      <c r="G157" s="135"/>
      <c r="H157" s="147"/>
      <c r="I157" s="148" t="s">
        <v>85</v>
      </c>
      <c r="J157" s="149">
        <f>Invoerensolo!$BG$23</f>
        <v>0</v>
      </c>
      <c r="K157" s="137" t="s">
        <v>86</v>
      </c>
    </row>
    <row r="158" spans="1:16" ht="18.75" customHeight="1">
      <c r="A158" s="135"/>
      <c r="B158" s="135" t="s">
        <v>19</v>
      </c>
      <c r="C158" s="135">
        <f>Invoerensolo!$E$23</f>
        <v>0</v>
      </c>
      <c r="D158" s="96"/>
      <c r="F158" s="135"/>
      <c r="G158" s="135"/>
      <c r="H158" s="147"/>
      <c r="I158" s="148" t="s">
        <v>5</v>
      </c>
      <c r="J158" s="152">
        <f>Invoerensolo!$BH$23</f>
        <v>0</v>
      </c>
      <c r="L158" s="142" t="s">
        <v>95</v>
      </c>
      <c r="M158" s="142">
        <f>Invoerensolo!$C$2</f>
        <v>50</v>
      </c>
      <c r="N158" s="153" t="s">
        <v>81</v>
      </c>
      <c r="O158" s="154">
        <f>Invoerensolo!$BJ$23</f>
        <v>0</v>
      </c>
      <c r="P158" s="7">
        <f>Invoerensolo!$R$23</f>
      </c>
    </row>
    <row r="159" spans="1:16" ht="18.75" customHeight="1">
      <c r="A159" s="135"/>
      <c r="B159" s="135" t="s">
        <v>20</v>
      </c>
      <c r="C159" s="135">
        <f>Invoerensolo!$F$23</f>
        <v>0</v>
      </c>
      <c r="D159" s="96"/>
      <c r="F159" s="135"/>
      <c r="G159" s="135"/>
      <c r="H159" s="155"/>
      <c r="J159" s="152"/>
      <c r="L159" s="156" t="s">
        <v>17</v>
      </c>
      <c r="N159" s="142"/>
      <c r="O159" s="143">
        <f>Invoerensolo!$C$23</f>
        <v>0</v>
      </c>
      <c r="P159" s="157"/>
    </row>
    <row r="160" spans="1:10" ht="18.75" customHeight="1">
      <c r="A160" s="135"/>
      <c r="B160" s="135"/>
      <c r="C160" s="135"/>
      <c r="F160" s="135"/>
      <c r="G160" s="135"/>
      <c r="H160" s="147"/>
      <c r="I160" s="156"/>
      <c r="J160" s="152"/>
    </row>
    <row r="161" spans="1:16" ht="18.75" customHeight="1">
      <c r="A161" s="155">
        <f>Invoerensolo!$B$24</f>
        <v>4</v>
      </c>
      <c r="B161" s="161">
        <f>Invoerensolo!$D$24</f>
        <v>0</v>
      </c>
      <c r="C161" s="125">
        <f>Invoerensolo!M157</f>
        <v>0</v>
      </c>
      <c r="D161" s="126">
        <v>0.3</v>
      </c>
      <c r="E161" s="162">
        <f>Invoerensolo!$X$24</f>
        <v>0</v>
      </c>
      <c r="F161" s="162">
        <f>Invoerensolo!$Y$24</f>
        <v>0</v>
      </c>
      <c r="G161" s="162">
        <f>Invoerensolo!$Z$24</f>
        <v>0</v>
      </c>
      <c r="H161" s="163">
        <f>Invoerensolo!$AA$24</f>
        <v>0</v>
      </c>
      <c r="I161" s="163">
        <f>Invoerensolo!$AB$24</f>
        <v>0</v>
      </c>
      <c r="J161" s="136">
        <f>Invoerensolo!$AD$24</f>
        <v>0</v>
      </c>
      <c r="K161" s="130" t="s">
        <v>79</v>
      </c>
      <c r="L161" s="164" t="s">
        <v>80</v>
      </c>
      <c r="M161" s="165">
        <f>Invoerensolo!$C$1</f>
        <v>50</v>
      </c>
      <c r="N161" s="166" t="s">
        <v>81</v>
      </c>
      <c r="O161" s="167">
        <f>ROUND(Invoerensolo!$BR$24*Invoerensolo!$C$1/100,4)</f>
        <v>0</v>
      </c>
      <c r="P161" s="49">
        <f>Invoerensolo!$BS$24</f>
      </c>
    </row>
    <row r="162" spans="1:16" ht="18.75" customHeight="1">
      <c r="A162" s="135">
        <f>Invoerensolo!$I$24</f>
        <v>0</v>
      </c>
      <c r="B162" s="135">
        <f>Invoerensolo!$G$24</f>
        <v>0</v>
      </c>
      <c r="C162" s="135">
        <f>Invoerensolo!$H$24</f>
        <v>0</v>
      </c>
      <c r="D162" s="126">
        <v>0.4</v>
      </c>
      <c r="E162" s="127">
        <f>Invoerensolo!$AK$24</f>
        <v>0</v>
      </c>
      <c r="F162" s="127">
        <f>Invoerensolo!$AL$24</f>
        <v>0</v>
      </c>
      <c r="G162" s="127">
        <f>Invoerensolo!$AM$24</f>
        <v>0</v>
      </c>
      <c r="H162" s="128">
        <f>Invoerensolo!$AN$24</f>
        <v>0</v>
      </c>
      <c r="I162" s="128">
        <f>Invoerensolo!$AO$24</f>
        <v>0</v>
      </c>
      <c r="J162" s="136">
        <f>Invoerensolo!$AQ$24</f>
        <v>0</v>
      </c>
      <c r="K162" s="137" t="s">
        <v>82</v>
      </c>
      <c r="L162" s="138" t="s">
        <v>83</v>
      </c>
      <c r="M162" s="139">
        <f>Invoerensolo!$C$3</f>
        <v>0</v>
      </c>
      <c r="N162" s="140" t="s">
        <v>81</v>
      </c>
      <c r="O162" s="141">
        <f>ROUND(Invoerensolo!$O$24*Invoerensolo!$C$3/100,4)</f>
        <v>0</v>
      </c>
      <c r="P162" s="7">
        <f>Invoerensolo!$P$24</f>
      </c>
    </row>
    <row r="163" spans="1:11" ht="18.75" customHeight="1">
      <c r="A163" s="135">
        <f>Invoerensolo!$L$24</f>
        <v>0</v>
      </c>
      <c r="B163" s="135">
        <f>Invoerensolo!$J$24</f>
        <v>0</v>
      </c>
      <c r="C163" s="135">
        <f>Invoerensolo!$K$24</f>
        <v>0</v>
      </c>
      <c r="D163" s="126">
        <v>0.3</v>
      </c>
      <c r="E163" s="127">
        <f>Invoerensolo!$AX$24</f>
        <v>0</v>
      </c>
      <c r="F163" s="127">
        <f>Invoerensolo!$AY$24</f>
        <v>0</v>
      </c>
      <c r="G163" s="127">
        <f>Invoerensolo!$AZ$24</f>
        <v>0</v>
      </c>
      <c r="H163" s="128">
        <f>Invoerensolo!$BA$24</f>
        <v>0</v>
      </c>
      <c r="I163" s="128">
        <f>Invoerensolo!$BB$24</f>
        <v>0</v>
      </c>
      <c r="J163" s="136">
        <f>Invoerensolo!$BD$24</f>
        <v>0</v>
      </c>
      <c r="K163" s="137" t="s">
        <v>84</v>
      </c>
    </row>
    <row r="164" spans="1:10" ht="18.75" customHeight="1">
      <c r="A164" s="135"/>
      <c r="B164" s="135"/>
      <c r="C164" s="135"/>
      <c r="F164" s="144"/>
      <c r="G164" s="144"/>
      <c r="H164" s="145"/>
      <c r="I164" s="145"/>
      <c r="J164" s="146">
        <f>SUM(J161:J163)</f>
        <v>0</v>
      </c>
    </row>
    <row r="165" spans="1:11" ht="18.75" customHeight="1">
      <c r="A165" s="135"/>
      <c r="B165" s="135"/>
      <c r="C165" s="135"/>
      <c r="F165" s="135"/>
      <c r="G165" s="135"/>
      <c r="H165" s="147"/>
      <c r="I165" s="148" t="s">
        <v>85</v>
      </c>
      <c r="J165" s="149">
        <f>Invoerensolo!$BG$24</f>
        <v>0</v>
      </c>
      <c r="K165" s="137" t="s">
        <v>86</v>
      </c>
    </row>
    <row r="166" spans="1:16" ht="18.75" customHeight="1">
      <c r="A166" s="135"/>
      <c r="B166" s="135" t="s">
        <v>19</v>
      </c>
      <c r="C166" s="135">
        <f>Invoerensolo!$E$24</f>
        <v>0</v>
      </c>
      <c r="D166" s="96"/>
      <c r="F166" s="135"/>
      <c r="G166" s="135"/>
      <c r="H166" s="147"/>
      <c r="I166" s="148" t="s">
        <v>5</v>
      </c>
      <c r="J166" s="152">
        <f>Invoerensolo!$BH$24</f>
        <v>0</v>
      </c>
      <c r="L166" s="142" t="s">
        <v>95</v>
      </c>
      <c r="M166" s="142">
        <f>Invoerensolo!$C$2</f>
        <v>50</v>
      </c>
      <c r="N166" s="153" t="s">
        <v>81</v>
      </c>
      <c r="O166" s="154">
        <f>Invoerensolo!$BJ$24</f>
        <v>0</v>
      </c>
      <c r="P166" s="7">
        <f>Invoerensolo!$R$24</f>
      </c>
    </row>
    <row r="167" spans="1:16" ht="18.75" customHeight="1">
      <c r="A167" s="135"/>
      <c r="B167" s="135" t="s">
        <v>20</v>
      </c>
      <c r="C167" s="135">
        <f>Invoerensolo!$F$24</f>
        <v>0</v>
      </c>
      <c r="D167" s="96"/>
      <c r="F167" s="135"/>
      <c r="G167" s="135"/>
      <c r="H167" s="155"/>
      <c r="J167" s="152"/>
      <c r="L167" s="156" t="s">
        <v>17</v>
      </c>
      <c r="N167" s="142"/>
      <c r="O167" s="143">
        <f>Invoerensolo!$C$24</f>
        <v>0</v>
      </c>
      <c r="P167" s="157"/>
    </row>
    <row r="168" spans="1:10" ht="18.75" customHeight="1">
      <c r="A168" s="135"/>
      <c r="B168" s="135"/>
      <c r="C168" s="135"/>
      <c r="F168" s="135"/>
      <c r="G168" s="135"/>
      <c r="H168" s="147"/>
      <c r="I168" s="156"/>
      <c r="J168" s="152"/>
    </row>
    <row r="169" spans="1:16" ht="18.75" customHeight="1">
      <c r="A169" s="155">
        <f>Invoerensolo!$B$25</f>
        <v>4</v>
      </c>
      <c r="B169" s="161">
        <f>Invoerensolo!$D$25</f>
        <v>0</v>
      </c>
      <c r="C169" s="125">
        <f>Invoerensolo!M165</f>
        <v>0</v>
      </c>
      <c r="D169" s="126">
        <v>0.3</v>
      </c>
      <c r="E169" s="162">
        <f>Invoerensolo!$X$25</f>
        <v>0</v>
      </c>
      <c r="F169" s="162">
        <f>Invoerensolo!$Y$25</f>
        <v>0</v>
      </c>
      <c r="G169" s="162">
        <f>Invoerensolo!$Z$25</f>
        <v>0</v>
      </c>
      <c r="H169" s="163">
        <f>Invoerensolo!$AA$25</f>
        <v>0</v>
      </c>
      <c r="I169" s="163">
        <f>Invoerensolo!$AB$25</f>
        <v>0</v>
      </c>
      <c r="J169" s="136">
        <f>Invoerensolo!$AD$25</f>
        <v>0</v>
      </c>
      <c r="K169" s="130" t="s">
        <v>79</v>
      </c>
      <c r="L169" s="164" t="s">
        <v>80</v>
      </c>
      <c r="M169" s="165">
        <f>Invoerensolo!$C$1</f>
        <v>50</v>
      </c>
      <c r="N169" s="166" t="s">
        <v>81</v>
      </c>
      <c r="O169" s="167">
        <f>ROUND(Invoerensolo!$BR$25*Invoerensolo!$C$1/100,4)</f>
        <v>0</v>
      </c>
      <c r="P169" s="49">
        <f>Invoerensolo!$BS$25</f>
      </c>
    </row>
    <row r="170" spans="1:16" ht="18.75" customHeight="1">
      <c r="A170" s="135">
        <f>Invoerensolo!$I$25</f>
        <v>0</v>
      </c>
      <c r="B170" s="135">
        <f>Invoerensolo!$G$25</f>
        <v>0</v>
      </c>
      <c r="C170" s="135">
        <f>Invoerensolo!$H$25</f>
        <v>0</v>
      </c>
      <c r="D170" s="126">
        <v>0.4</v>
      </c>
      <c r="E170" s="127">
        <f>Invoerensolo!$AK$25</f>
        <v>0</v>
      </c>
      <c r="F170" s="127">
        <f>Invoerensolo!$AL$25</f>
        <v>0</v>
      </c>
      <c r="G170" s="127">
        <f>Invoerensolo!$AM$25</f>
        <v>0</v>
      </c>
      <c r="H170" s="128">
        <f>Invoerensolo!$AN$25</f>
        <v>0</v>
      </c>
      <c r="I170" s="128">
        <f>Invoerensolo!$AO$25</f>
        <v>0</v>
      </c>
      <c r="J170" s="136">
        <f>Invoerensolo!$AQ$25</f>
        <v>0</v>
      </c>
      <c r="K170" s="137" t="s">
        <v>82</v>
      </c>
      <c r="L170" s="138" t="s">
        <v>83</v>
      </c>
      <c r="M170" s="139">
        <f>Invoerensolo!$C$3</f>
        <v>0</v>
      </c>
      <c r="N170" s="140" t="s">
        <v>81</v>
      </c>
      <c r="O170" s="141">
        <f>ROUND(Invoerensolo!$O$25*Invoerensolo!$C$3/100,4)</f>
        <v>0</v>
      </c>
      <c r="P170" s="7">
        <f>Invoerensolo!$P$25</f>
      </c>
    </row>
    <row r="171" spans="1:11" ht="18.75" customHeight="1">
      <c r="A171" s="135">
        <f>Invoerensolo!$L$25</f>
        <v>0</v>
      </c>
      <c r="B171" s="135">
        <f>Invoerensolo!$J$25</f>
        <v>0</v>
      </c>
      <c r="C171" s="135">
        <f>Invoerensolo!$K$25</f>
        <v>0</v>
      </c>
      <c r="D171" s="126">
        <v>0.3</v>
      </c>
      <c r="E171" s="127">
        <f>Invoerensolo!$AX$25</f>
        <v>0</v>
      </c>
      <c r="F171" s="127">
        <f>Invoerensolo!$AY$25</f>
        <v>0</v>
      </c>
      <c r="G171" s="127">
        <f>Invoerensolo!$AZ$25</f>
        <v>0</v>
      </c>
      <c r="H171" s="128">
        <f>Invoerensolo!$BA$25</f>
        <v>0</v>
      </c>
      <c r="I171" s="128">
        <f>Invoerensolo!$BB$25</f>
        <v>0</v>
      </c>
      <c r="J171" s="136">
        <f>Invoerensolo!$BD$25</f>
        <v>0</v>
      </c>
      <c r="K171" s="137" t="s">
        <v>84</v>
      </c>
    </row>
    <row r="172" spans="1:10" ht="18.75" customHeight="1">
      <c r="A172" s="135"/>
      <c r="B172" s="135"/>
      <c r="C172" s="135"/>
      <c r="F172" s="144"/>
      <c r="G172" s="144"/>
      <c r="H172" s="145"/>
      <c r="I172" s="145"/>
      <c r="J172" s="146">
        <f>SUM(J169:J171)</f>
        <v>0</v>
      </c>
    </row>
    <row r="173" spans="1:11" ht="18.75" customHeight="1">
      <c r="A173" s="135"/>
      <c r="B173" s="135"/>
      <c r="C173" s="135"/>
      <c r="F173" s="135"/>
      <c r="G173" s="135"/>
      <c r="H173" s="147"/>
      <c r="I173" s="148" t="s">
        <v>85</v>
      </c>
      <c r="J173" s="149">
        <f>Invoerensolo!$BG$25</f>
        <v>0</v>
      </c>
      <c r="K173" s="137" t="s">
        <v>86</v>
      </c>
    </row>
    <row r="174" spans="1:16" ht="18.75" customHeight="1">
      <c r="A174" s="135"/>
      <c r="B174" s="135" t="s">
        <v>19</v>
      </c>
      <c r="C174" s="135">
        <f>Invoerensolo!$E$25</f>
        <v>0</v>
      </c>
      <c r="D174" s="96"/>
      <c r="F174" s="135"/>
      <c r="G174" s="135"/>
      <c r="H174" s="147"/>
      <c r="I174" s="148" t="s">
        <v>5</v>
      </c>
      <c r="J174" s="152">
        <f>Invoerensolo!$BH$25</f>
        <v>0</v>
      </c>
      <c r="L174" s="142" t="s">
        <v>95</v>
      </c>
      <c r="M174" s="142">
        <f>Invoerensolo!$C$2</f>
        <v>50</v>
      </c>
      <c r="N174" s="153" t="s">
        <v>81</v>
      </c>
      <c r="O174" s="154">
        <f>Invoerensolo!$BJ$25</f>
        <v>0</v>
      </c>
      <c r="P174" s="7">
        <f>Invoerensolo!$R$25</f>
      </c>
    </row>
    <row r="175" spans="1:16" ht="18.75" customHeight="1">
      <c r="A175" s="135"/>
      <c r="B175" s="135" t="s">
        <v>20</v>
      </c>
      <c r="C175" s="135">
        <f>Invoerensolo!$F$25</f>
        <v>0</v>
      </c>
      <c r="D175" s="96"/>
      <c r="F175" s="135"/>
      <c r="G175" s="135"/>
      <c r="H175" s="155"/>
      <c r="J175" s="152"/>
      <c r="L175" s="156" t="s">
        <v>17</v>
      </c>
      <c r="N175" s="142"/>
      <c r="O175" s="143">
        <f>Invoerensolo!$C$25</f>
        <v>0</v>
      </c>
      <c r="P175" s="157"/>
    </row>
    <row r="176" spans="1:10" ht="18.75" customHeight="1">
      <c r="A176" s="135"/>
      <c r="B176" s="135"/>
      <c r="C176" s="135"/>
      <c r="F176" s="135"/>
      <c r="G176" s="135"/>
      <c r="H176" s="147"/>
      <c r="I176" s="156"/>
      <c r="J176" s="152"/>
    </row>
    <row r="177" spans="1:16" ht="18.75" customHeight="1">
      <c r="A177" s="155">
        <f>Invoerensolo!$B$26</f>
        <v>4</v>
      </c>
      <c r="B177" s="161">
        <f>Invoerensolo!$D$26</f>
        <v>0</v>
      </c>
      <c r="C177" s="125">
        <f>Invoerensolo!M173</f>
        <v>0</v>
      </c>
      <c r="D177" s="126">
        <v>0.3</v>
      </c>
      <c r="E177" s="162">
        <f>Invoerensolo!$X$26</f>
        <v>0</v>
      </c>
      <c r="F177" s="162">
        <f>Invoerensolo!$Y$26</f>
        <v>0</v>
      </c>
      <c r="G177" s="162">
        <f>Invoerensolo!$Z$26</f>
        <v>0</v>
      </c>
      <c r="H177" s="163">
        <f>Invoerensolo!$AA$26</f>
        <v>0</v>
      </c>
      <c r="I177" s="163">
        <f>Invoerensolo!$AB$26</f>
        <v>0</v>
      </c>
      <c r="J177" s="136">
        <f>Invoerensolo!$AD$26</f>
        <v>0</v>
      </c>
      <c r="K177" s="130" t="s">
        <v>79</v>
      </c>
      <c r="L177" s="164" t="s">
        <v>80</v>
      </c>
      <c r="M177" s="165">
        <f>Invoerensolo!$C$1</f>
        <v>50</v>
      </c>
      <c r="N177" s="166" t="s">
        <v>81</v>
      </c>
      <c r="O177" s="167">
        <f>ROUND(Invoerensolo!$BR$26*Invoerensolo!$C$1/100,4)</f>
        <v>0</v>
      </c>
      <c r="P177" s="49">
        <f>Invoerensolo!$BS$26</f>
      </c>
    </row>
    <row r="178" spans="1:16" ht="18.75" customHeight="1">
      <c r="A178" s="135">
        <f>Invoerensolo!$I$26</f>
        <v>0</v>
      </c>
      <c r="B178" s="135">
        <f>Invoerensolo!$G$26</f>
        <v>0</v>
      </c>
      <c r="C178" s="135">
        <f>Invoerensolo!$H$26</f>
        <v>0</v>
      </c>
      <c r="D178" s="126">
        <v>0.4</v>
      </c>
      <c r="E178" s="127">
        <f>Invoerensolo!$AK$26</f>
        <v>0</v>
      </c>
      <c r="F178" s="127">
        <f>Invoerensolo!$AL$26</f>
        <v>0</v>
      </c>
      <c r="G178" s="127">
        <f>Invoerensolo!$AM$26</f>
        <v>0</v>
      </c>
      <c r="H178" s="128">
        <f>Invoerensolo!$AN$26</f>
        <v>0</v>
      </c>
      <c r="I178" s="128">
        <f>Invoerensolo!$AO$26</f>
        <v>0</v>
      </c>
      <c r="J178" s="136">
        <f>Invoerensolo!$AQ$26</f>
        <v>0</v>
      </c>
      <c r="K178" s="137" t="s">
        <v>82</v>
      </c>
      <c r="L178" s="138" t="s">
        <v>83</v>
      </c>
      <c r="M178" s="139">
        <f>Invoerensolo!$C$3</f>
        <v>0</v>
      </c>
      <c r="N178" s="140" t="s">
        <v>81</v>
      </c>
      <c r="O178" s="141">
        <f>ROUND(Invoerensolo!$O$26*Invoerensolo!$C$3/100,4)</f>
        <v>0</v>
      </c>
      <c r="P178" s="7">
        <f>Invoerensolo!$P$26</f>
      </c>
    </row>
    <row r="179" spans="1:11" ht="18.75" customHeight="1">
      <c r="A179" s="135">
        <f>Invoerensolo!$L$26</f>
        <v>0</v>
      </c>
      <c r="B179" s="135">
        <f>Invoerensolo!$J$26</f>
        <v>0</v>
      </c>
      <c r="C179" s="135">
        <f>Invoerensolo!$K$26</f>
        <v>0</v>
      </c>
      <c r="D179" s="126">
        <v>0.3</v>
      </c>
      <c r="E179" s="127">
        <f>Invoerensolo!$AX$26</f>
        <v>0</v>
      </c>
      <c r="F179" s="127">
        <f>Invoerensolo!$AY$26</f>
        <v>0</v>
      </c>
      <c r="G179" s="127">
        <f>Invoerensolo!$AZ$26</f>
        <v>0</v>
      </c>
      <c r="H179" s="128">
        <f>Invoerensolo!$BA$26</f>
        <v>0</v>
      </c>
      <c r="I179" s="128">
        <f>Invoerensolo!$BB$26</f>
        <v>0</v>
      </c>
      <c r="J179" s="136">
        <f>Invoerensolo!$BD$26</f>
        <v>0</v>
      </c>
      <c r="K179" s="137" t="s">
        <v>84</v>
      </c>
    </row>
    <row r="180" spans="1:10" ht="18.75" customHeight="1">
      <c r="A180" s="135"/>
      <c r="B180" s="135"/>
      <c r="C180" s="135"/>
      <c r="F180" s="144"/>
      <c r="G180" s="144"/>
      <c r="H180" s="145"/>
      <c r="I180" s="145"/>
      <c r="J180" s="146">
        <f>SUM(J177:J179)</f>
        <v>0</v>
      </c>
    </row>
    <row r="181" spans="1:11" ht="18.75" customHeight="1">
      <c r="A181" s="135"/>
      <c r="B181" s="135"/>
      <c r="C181" s="135"/>
      <c r="F181" s="135"/>
      <c r="G181" s="135"/>
      <c r="H181" s="147"/>
      <c r="I181" s="148" t="s">
        <v>85</v>
      </c>
      <c r="J181" s="149">
        <f>Invoerensolo!$BG$26</f>
        <v>0</v>
      </c>
      <c r="K181" s="137" t="s">
        <v>86</v>
      </c>
    </row>
    <row r="182" spans="1:16" ht="18.75" customHeight="1">
      <c r="A182" s="135"/>
      <c r="B182" s="135" t="s">
        <v>19</v>
      </c>
      <c r="C182" s="135">
        <f>Invoerensolo!$E$26</f>
        <v>0</v>
      </c>
      <c r="D182" s="96"/>
      <c r="F182" s="135"/>
      <c r="G182" s="135"/>
      <c r="H182" s="147"/>
      <c r="I182" s="148" t="s">
        <v>5</v>
      </c>
      <c r="J182" s="152">
        <f>Invoerensolo!$BH$26</f>
        <v>0</v>
      </c>
      <c r="L182" s="142" t="s">
        <v>95</v>
      </c>
      <c r="M182" s="142">
        <f>Invoerensolo!$C$2</f>
        <v>50</v>
      </c>
      <c r="N182" s="153" t="s">
        <v>81</v>
      </c>
      <c r="O182" s="154">
        <f>Invoerensolo!$BJ$26</f>
        <v>0</v>
      </c>
      <c r="P182" s="7">
        <f>Invoerensolo!$R$26</f>
      </c>
    </row>
    <row r="183" spans="1:16" ht="18.75" customHeight="1">
      <c r="A183" s="135"/>
      <c r="B183" s="135" t="s">
        <v>20</v>
      </c>
      <c r="C183" s="135">
        <f>Invoerensolo!$F$26</f>
        <v>0</v>
      </c>
      <c r="D183" s="96"/>
      <c r="F183" s="135"/>
      <c r="G183" s="135"/>
      <c r="H183" s="155"/>
      <c r="J183" s="152"/>
      <c r="L183" s="156" t="s">
        <v>17</v>
      </c>
      <c r="N183" s="142"/>
      <c r="O183" s="143">
        <f>Invoerensolo!$C$26</f>
        <v>0</v>
      </c>
      <c r="P183" s="157"/>
    </row>
    <row r="184" spans="1:10" ht="18.75" customHeight="1">
      <c r="A184" s="135"/>
      <c r="B184" s="135"/>
      <c r="C184" s="135"/>
      <c r="F184" s="135"/>
      <c r="G184" s="135"/>
      <c r="H184" s="147"/>
      <c r="I184" s="156"/>
      <c r="J184" s="152"/>
    </row>
    <row r="185" spans="1:16" ht="18.75" customHeight="1">
      <c r="A185" s="155">
        <f>Invoerensolo!$B$27</f>
        <v>4</v>
      </c>
      <c r="B185" s="161">
        <f>Invoerensolo!$D$27</f>
        <v>0</v>
      </c>
      <c r="C185" s="125">
        <f>Invoerensolo!M181</f>
        <v>0</v>
      </c>
      <c r="D185" s="126">
        <v>0.3</v>
      </c>
      <c r="E185" s="162">
        <f>Invoerensolo!$X$27</f>
        <v>0</v>
      </c>
      <c r="F185" s="162">
        <f>Invoerensolo!$Y$27</f>
        <v>0</v>
      </c>
      <c r="G185" s="162">
        <f>Invoerensolo!$Z$27</f>
        <v>0</v>
      </c>
      <c r="H185" s="163">
        <f>Invoerensolo!$AA$27</f>
        <v>0</v>
      </c>
      <c r="I185" s="163">
        <f>Invoerensolo!$AB$27</f>
        <v>0</v>
      </c>
      <c r="J185" s="136">
        <f>Invoerensolo!$AD$27</f>
        <v>0</v>
      </c>
      <c r="K185" s="130" t="s">
        <v>79</v>
      </c>
      <c r="L185" s="164" t="s">
        <v>80</v>
      </c>
      <c r="M185" s="165">
        <f>Invoerensolo!$C$1</f>
        <v>50</v>
      </c>
      <c r="N185" s="166" t="s">
        <v>81</v>
      </c>
      <c r="O185" s="167">
        <f>ROUND(Invoerensolo!$BR$27*Invoerensolo!$C$1/100,4)</f>
        <v>0</v>
      </c>
      <c r="P185" s="49">
        <f>Invoerensolo!$BS$27</f>
      </c>
    </row>
    <row r="186" spans="1:16" ht="18.75" customHeight="1">
      <c r="A186" s="135">
        <f>Invoerensolo!$I$27</f>
        <v>0</v>
      </c>
      <c r="B186" s="135">
        <f>Invoerensolo!$G$27</f>
        <v>0</v>
      </c>
      <c r="C186" s="135">
        <f>Invoerensolo!$H$27</f>
        <v>0</v>
      </c>
      <c r="D186" s="126">
        <v>0.4</v>
      </c>
      <c r="E186" s="127">
        <f>Invoerensolo!$AK$27</f>
        <v>0</v>
      </c>
      <c r="F186" s="127">
        <f>Invoerensolo!$AL$27</f>
        <v>0</v>
      </c>
      <c r="G186" s="127">
        <f>Invoerensolo!$AM$27</f>
        <v>0</v>
      </c>
      <c r="H186" s="128">
        <f>Invoerensolo!$AN$27</f>
        <v>0</v>
      </c>
      <c r="I186" s="128">
        <f>Invoerensolo!$AO$27</f>
        <v>0</v>
      </c>
      <c r="J186" s="136">
        <f>Invoerensolo!$AQ$27</f>
        <v>0</v>
      </c>
      <c r="K186" s="137" t="s">
        <v>82</v>
      </c>
      <c r="L186" s="138" t="s">
        <v>83</v>
      </c>
      <c r="M186" s="139">
        <f>Invoerensolo!$C$3</f>
        <v>0</v>
      </c>
      <c r="N186" s="140" t="s">
        <v>81</v>
      </c>
      <c r="O186" s="141">
        <f>ROUND(Invoerensolo!$O$27*Invoerensolo!$C$3/100,4)</f>
        <v>0</v>
      </c>
      <c r="P186" s="7">
        <f>Invoerensolo!$P$27</f>
      </c>
    </row>
    <row r="187" spans="1:11" ht="18.75" customHeight="1">
      <c r="A187" s="135">
        <f>Invoerensolo!$L$27</f>
        <v>0</v>
      </c>
      <c r="B187" s="135">
        <f>Invoerensolo!$J$27</f>
        <v>0</v>
      </c>
      <c r="C187" s="135">
        <f>Invoerensolo!$K$27</f>
        <v>0</v>
      </c>
      <c r="D187" s="126">
        <v>0.3</v>
      </c>
      <c r="E187" s="127">
        <f>Invoerensolo!$AX$27</f>
        <v>0</v>
      </c>
      <c r="F187" s="127">
        <f>Invoerensolo!$AY$27</f>
        <v>0</v>
      </c>
      <c r="G187" s="127">
        <f>Invoerensolo!$AZ$27</f>
        <v>0</v>
      </c>
      <c r="H187" s="128">
        <f>Invoerensolo!$BA$27</f>
        <v>0</v>
      </c>
      <c r="I187" s="128">
        <f>Invoerensolo!$BB$27</f>
        <v>0</v>
      </c>
      <c r="J187" s="136">
        <f>Invoerensolo!$BD$27</f>
        <v>0</v>
      </c>
      <c r="K187" s="137" t="s">
        <v>84</v>
      </c>
    </row>
    <row r="188" spans="1:10" ht="18.75" customHeight="1">
      <c r="A188" s="135"/>
      <c r="B188" s="135"/>
      <c r="C188" s="135"/>
      <c r="F188" s="144"/>
      <c r="G188" s="144"/>
      <c r="H188" s="145"/>
      <c r="I188" s="145"/>
      <c r="J188" s="146">
        <f>SUM(J185:J187)</f>
        <v>0</v>
      </c>
    </row>
    <row r="189" spans="1:11" ht="18.75" customHeight="1">
      <c r="A189" s="135"/>
      <c r="B189" s="135"/>
      <c r="C189" s="135"/>
      <c r="F189" s="135"/>
      <c r="G189" s="135"/>
      <c r="H189" s="147"/>
      <c r="I189" s="148" t="s">
        <v>85</v>
      </c>
      <c r="J189" s="149">
        <f>Invoerensolo!$BG$27</f>
        <v>0</v>
      </c>
      <c r="K189" s="137" t="s">
        <v>86</v>
      </c>
    </row>
    <row r="190" spans="1:16" ht="18.75" customHeight="1">
      <c r="A190" s="135"/>
      <c r="B190" s="135" t="s">
        <v>19</v>
      </c>
      <c r="C190" s="135">
        <f>Invoerensolo!$E$27</f>
        <v>0</v>
      </c>
      <c r="D190" s="96"/>
      <c r="F190" s="135"/>
      <c r="G190" s="135"/>
      <c r="H190" s="147"/>
      <c r="I190" s="148" t="s">
        <v>5</v>
      </c>
      <c r="J190" s="152">
        <f>Invoerensolo!$BH$27</f>
        <v>0</v>
      </c>
      <c r="L190" s="142" t="s">
        <v>95</v>
      </c>
      <c r="M190" s="142">
        <f>Invoerensolo!$C$2</f>
        <v>50</v>
      </c>
      <c r="N190" s="153" t="s">
        <v>81</v>
      </c>
      <c r="O190" s="154">
        <f>Invoerensolo!$BJ$27</f>
        <v>0</v>
      </c>
      <c r="P190" s="7">
        <f>Invoerensolo!$R$27</f>
      </c>
    </row>
    <row r="191" spans="1:16" ht="18.75" customHeight="1">
      <c r="A191" s="135"/>
      <c r="B191" s="135" t="s">
        <v>20</v>
      </c>
      <c r="C191" s="135">
        <f>Invoerensolo!$F$27</f>
        <v>0</v>
      </c>
      <c r="D191" s="96"/>
      <c r="F191" s="135"/>
      <c r="G191" s="135"/>
      <c r="H191" s="155"/>
      <c r="J191" s="152"/>
      <c r="L191" s="156" t="s">
        <v>17</v>
      </c>
      <c r="N191" s="142"/>
      <c r="O191" s="143">
        <f>Invoerensolo!$C$27</f>
        <v>0</v>
      </c>
      <c r="P191" s="157"/>
    </row>
    <row r="192" spans="1:10" ht="18.75" customHeight="1">
      <c r="A192" s="135"/>
      <c r="B192" s="135"/>
      <c r="C192" s="135"/>
      <c r="F192" s="135"/>
      <c r="G192" s="135"/>
      <c r="H192" s="147"/>
      <c r="I192" s="156"/>
      <c r="J192" s="152"/>
    </row>
    <row r="193" spans="1:16" ht="18.75" customHeight="1">
      <c r="A193" s="155">
        <f>Invoerensolo!$B$28</f>
        <v>4</v>
      </c>
      <c r="B193" s="161">
        <f>Invoerensolo!$D$28</f>
        <v>0</v>
      </c>
      <c r="C193" s="125">
        <f>Invoerensolo!M189</f>
        <v>0</v>
      </c>
      <c r="D193" s="126">
        <v>0.3</v>
      </c>
      <c r="E193" s="162">
        <f>Invoerensolo!$X$28</f>
        <v>0</v>
      </c>
      <c r="F193" s="162">
        <f>Invoerensolo!$Y$28</f>
        <v>0</v>
      </c>
      <c r="G193" s="162">
        <f>Invoerensolo!$Z$28</f>
        <v>0</v>
      </c>
      <c r="H193" s="163">
        <f>Invoerensolo!$AA$28</f>
        <v>0</v>
      </c>
      <c r="I193" s="163">
        <f>Invoerensolo!$AB$28</f>
        <v>0</v>
      </c>
      <c r="J193" s="136">
        <f>Invoerensolo!$AD$28</f>
        <v>0</v>
      </c>
      <c r="K193" s="130" t="s">
        <v>79</v>
      </c>
      <c r="L193" s="164" t="s">
        <v>80</v>
      </c>
      <c r="M193" s="165">
        <f>Invoerensolo!$C$1</f>
        <v>50</v>
      </c>
      <c r="N193" s="166" t="s">
        <v>81</v>
      </c>
      <c r="O193" s="167">
        <f>ROUND(Invoerensolo!$BR$28*Invoerensolo!$C$1/100,4)</f>
        <v>0</v>
      </c>
      <c r="P193" s="49">
        <f>Invoerensolo!$BS$28</f>
      </c>
    </row>
    <row r="194" spans="1:16" ht="18.75" customHeight="1">
      <c r="A194" s="135">
        <f>Invoerensolo!$I$28</f>
        <v>0</v>
      </c>
      <c r="B194" s="135">
        <f>Invoerensolo!$G$28</f>
        <v>0</v>
      </c>
      <c r="C194" s="135">
        <f>Invoerensolo!$H$28</f>
        <v>0</v>
      </c>
      <c r="D194" s="126">
        <v>0.4</v>
      </c>
      <c r="E194" s="127">
        <f>Invoerensolo!$AK$28</f>
        <v>0</v>
      </c>
      <c r="F194" s="127">
        <f>Invoerensolo!$AL$28</f>
        <v>0</v>
      </c>
      <c r="G194" s="127">
        <f>Invoerensolo!$AM$28</f>
        <v>0</v>
      </c>
      <c r="H194" s="128">
        <f>Invoerensolo!$AN$28</f>
        <v>0</v>
      </c>
      <c r="I194" s="128">
        <f>Invoerensolo!$AO$28</f>
        <v>0</v>
      </c>
      <c r="J194" s="136">
        <f>Invoerensolo!$AQ$28</f>
        <v>0</v>
      </c>
      <c r="K194" s="137" t="s">
        <v>82</v>
      </c>
      <c r="L194" s="138" t="s">
        <v>83</v>
      </c>
      <c r="M194" s="139">
        <f>Invoerensolo!$C$3</f>
        <v>0</v>
      </c>
      <c r="N194" s="140" t="s">
        <v>81</v>
      </c>
      <c r="O194" s="141">
        <f>ROUND(Invoerensolo!$O$28*Invoerensolo!$C$3/100,4)</f>
        <v>0</v>
      </c>
      <c r="P194" s="7">
        <f>Invoerensolo!$P$28</f>
      </c>
    </row>
    <row r="195" spans="1:11" ht="18.75" customHeight="1">
      <c r="A195" s="135">
        <f>Invoerensolo!$L$28</f>
        <v>0</v>
      </c>
      <c r="B195" s="135">
        <f>Invoerensolo!$J$28</f>
        <v>0</v>
      </c>
      <c r="C195" s="135">
        <f>Invoerensolo!$K$28</f>
        <v>0</v>
      </c>
      <c r="D195" s="126">
        <v>0.3</v>
      </c>
      <c r="E195" s="127">
        <f>Invoerensolo!$AX$28</f>
        <v>0</v>
      </c>
      <c r="F195" s="127">
        <f>Invoerensolo!$AY$28</f>
        <v>0</v>
      </c>
      <c r="G195" s="127">
        <f>Invoerensolo!$AZ$28</f>
        <v>0</v>
      </c>
      <c r="H195" s="128">
        <f>Invoerensolo!$BA$28</f>
        <v>0</v>
      </c>
      <c r="I195" s="128">
        <f>Invoerensolo!$BB$28</f>
        <v>0</v>
      </c>
      <c r="J195" s="136">
        <f>Invoerensolo!$BD$28</f>
        <v>0</v>
      </c>
      <c r="K195" s="137" t="s">
        <v>84</v>
      </c>
    </row>
    <row r="196" spans="1:10" ht="18.75" customHeight="1">
      <c r="A196" s="135"/>
      <c r="B196" s="135"/>
      <c r="C196" s="135"/>
      <c r="F196" s="144"/>
      <c r="G196" s="144"/>
      <c r="H196" s="145"/>
      <c r="I196" s="145"/>
      <c r="J196" s="146">
        <f>SUM(J193:J195)</f>
        <v>0</v>
      </c>
    </row>
    <row r="197" spans="1:11" ht="18.75" customHeight="1">
      <c r="A197" s="135"/>
      <c r="B197" s="135"/>
      <c r="C197" s="135"/>
      <c r="F197" s="135"/>
      <c r="G197" s="135"/>
      <c r="H197" s="147"/>
      <c r="I197" s="148" t="s">
        <v>85</v>
      </c>
      <c r="J197" s="149">
        <f>Invoerensolo!$BG$28</f>
        <v>0</v>
      </c>
      <c r="K197" s="137" t="s">
        <v>86</v>
      </c>
    </row>
    <row r="198" spans="1:16" ht="18.75" customHeight="1">
      <c r="A198" s="135"/>
      <c r="B198" s="135" t="s">
        <v>19</v>
      </c>
      <c r="C198" s="135">
        <f>Invoerensolo!$E$28</f>
        <v>0</v>
      </c>
      <c r="D198" s="96"/>
      <c r="F198" s="135"/>
      <c r="G198" s="135"/>
      <c r="H198" s="147"/>
      <c r="I198" s="148" t="s">
        <v>5</v>
      </c>
      <c r="J198" s="152">
        <f>Invoerensolo!$BH$28</f>
        <v>0</v>
      </c>
      <c r="L198" s="142" t="s">
        <v>95</v>
      </c>
      <c r="M198" s="142">
        <f>Invoerensolo!$C$2</f>
        <v>50</v>
      </c>
      <c r="N198" s="153" t="s">
        <v>81</v>
      </c>
      <c r="O198" s="154">
        <f>Invoerensolo!$BJ$28</f>
        <v>0</v>
      </c>
      <c r="P198" s="7">
        <f>Invoerensolo!$R$28</f>
      </c>
    </row>
    <row r="199" spans="1:16" ht="18.75" customHeight="1">
      <c r="A199" s="135"/>
      <c r="B199" s="135" t="s">
        <v>20</v>
      </c>
      <c r="C199" s="135">
        <f>Invoerensolo!$F$28</f>
        <v>0</v>
      </c>
      <c r="D199" s="96"/>
      <c r="F199" s="135"/>
      <c r="G199" s="135"/>
      <c r="H199" s="155"/>
      <c r="J199" s="152"/>
      <c r="L199" s="156" t="s">
        <v>17</v>
      </c>
      <c r="N199" s="142"/>
      <c r="O199" s="143">
        <f>Invoerensolo!$C$28</f>
        <v>0</v>
      </c>
      <c r="P199" s="157"/>
    </row>
    <row r="200" spans="1:10" ht="18.75" customHeight="1">
      <c r="A200" s="135"/>
      <c r="B200" s="135"/>
      <c r="C200" s="135"/>
      <c r="F200" s="135"/>
      <c r="G200" s="135"/>
      <c r="H200" s="147"/>
      <c r="I200" s="156"/>
      <c r="J200" s="152"/>
    </row>
    <row r="201" spans="1:16" ht="18.75" customHeight="1">
      <c r="A201" s="155">
        <f>Invoerensolo!$B$29</f>
        <v>4</v>
      </c>
      <c r="B201" s="161">
        <f>Invoerensolo!$D$29</f>
        <v>0</v>
      </c>
      <c r="C201" s="125">
        <f>Invoerensolo!M197</f>
        <v>0</v>
      </c>
      <c r="D201" s="126">
        <v>0.3</v>
      </c>
      <c r="E201" s="162">
        <f>Invoerensolo!$X$29</f>
        <v>0</v>
      </c>
      <c r="F201" s="162">
        <f>Invoerensolo!$Y$29</f>
        <v>0</v>
      </c>
      <c r="G201" s="162">
        <f>Invoerensolo!$Z$29</f>
        <v>0</v>
      </c>
      <c r="H201" s="163">
        <f>Invoerensolo!$AA$29</f>
        <v>0</v>
      </c>
      <c r="I201" s="163">
        <f>Invoerensolo!$AB$29</f>
        <v>0</v>
      </c>
      <c r="J201" s="136">
        <f>Invoerensolo!$AD$29</f>
        <v>0</v>
      </c>
      <c r="K201" s="130" t="s">
        <v>79</v>
      </c>
      <c r="L201" s="164" t="s">
        <v>80</v>
      </c>
      <c r="M201" s="165">
        <f>Invoerensolo!$C$1</f>
        <v>50</v>
      </c>
      <c r="N201" s="166" t="s">
        <v>81</v>
      </c>
      <c r="O201" s="167">
        <f>ROUND(Invoerensolo!$BR$29*Invoerensolo!$C$1/100,4)</f>
        <v>0</v>
      </c>
      <c r="P201" s="49">
        <f>Invoerensolo!$BS$29</f>
      </c>
    </row>
    <row r="202" spans="1:16" ht="18.75" customHeight="1">
      <c r="A202" s="135">
        <f>Invoerensolo!$I$29</f>
        <v>0</v>
      </c>
      <c r="B202" s="135">
        <f>Invoerensolo!$G$29</f>
        <v>0</v>
      </c>
      <c r="C202" s="135">
        <f>Invoerensolo!$H$29</f>
        <v>0</v>
      </c>
      <c r="D202" s="126">
        <v>0.4</v>
      </c>
      <c r="E202" s="127">
        <f>Invoerensolo!$AK$29</f>
        <v>0</v>
      </c>
      <c r="F202" s="127">
        <f>Invoerensolo!$AL$29</f>
        <v>0</v>
      </c>
      <c r="G202" s="127">
        <f>Invoerensolo!$AM$29</f>
        <v>0</v>
      </c>
      <c r="H202" s="128">
        <f>Invoerensolo!$AN$29</f>
        <v>0</v>
      </c>
      <c r="I202" s="128">
        <f>Invoerensolo!$AO$29</f>
        <v>0</v>
      </c>
      <c r="J202" s="136">
        <f>Invoerensolo!$AQ$29</f>
        <v>0</v>
      </c>
      <c r="K202" s="137" t="s">
        <v>82</v>
      </c>
      <c r="L202" s="138" t="s">
        <v>83</v>
      </c>
      <c r="M202" s="139">
        <f>Invoerensolo!$C$3</f>
        <v>0</v>
      </c>
      <c r="N202" s="140" t="s">
        <v>81</v>
      </c>
      <c r="O202" s="141">
        <f>ROUND(Invoerensolo!$O$29*Invoerensolo!$C$3/100,4)</f>
        <v>0</v>
      </c>
      <c r="P202" s="7">
        <f>Invoerensolo!$P$29</f>
      </c>
    </row>
    <row r="203" spans="1:11" ht="18.75" customHeight="1">
      <c r="A203" s="135">
        <f>Invoerensolo!$L$29</f>
        <v>0</v>
      </c>
      <c r="B203" s="135">
        <f>Invoerensolo!$J$29</f>
        <v>0</v>
      </c>
      <c r="C203" s="135">
        <f>Invoerensolo!$K$29</f>
        <v>0</v>
      </c>
      <c r="D203" s="126">
        <v>0.3</v>
      </c>
      <c r="E203" s="127">
        <f>Invoerensolo!$AX$29</f>
        <v>0</v>
      </c>
      <c r="F203" s="127">
        <f>Invoerensolo!$AY$29</f>
        <v>0</v>
      </c>
      <c r="G203" s="127">
        <f>Invoerensolo!$AZ$29</f>
        <v>0</v>
      </c>
      <c r="H203" s="128">
        <f>Invoerensolo!$BA$29</f>
        <v>0</v>
      </c>
      <c r="I203" s="128">
        <f>Invoerensolo!$BB$29</f>
        <v>0</v>
      </c>
      <c r="J203" s="136">
        <f>Invoerensolo!$BD$29</f>
        <v>0</v>
      </c>
      <c r="K203" s="137" t="s">
        <v>84</v>
      </c>
    </row>
    <row r="204" spans="1:10" ht="18.75" customHeight="1">
      <c r="A204" s="135"/>
      <c r="B204" s="135"/>
      <c r="C204" s="135"/>
      <c r="F204" s="144"/>
      <c r="G204" s="144"/>
      <c r="H204" s="145"/>
      <c r="I204" s="145"/>
      <c r="J204" s="146">
        <f>SUM(J201:J203)</f>
        <v>0</v>
      </c>
    </row>
    <row r="205" spans="1:11" ht="18.75" customHeight="1">
      <c r="A205" s="135"/>
      <c r="B205" s="135"/>
      <c r="C205" s="135"/>
      <c r="F205" s="135"/>
      <c r="G205" s="135"/>
      <c r="H205" s="147"/>
      <c r="I205" s="148" t="s">
        <v>85</v>
      </c>
      <c r="J205" s="149">
        <f>Invoerensolo!$BG$29</f>
        <v>0</v>
      </c>
      <c r="K205" s="137" t="s">
        <v>86</v>
      </c>
    </row>
    <row r="206" spans="1:16" ht="18.75" customHeight="1">
      <c r="A206" s="135"/>
      <c r="B206" s="135" t="s">
        <v>19</v>
      </c>
      <c r="C206" s="135">
        <f>Invoerensolo!$E$29</f>
        <v>0</v>
      </c>
      <c r="D206" s="96"/>
      <c r="F206" s="135"/>
      <c r="G206" s="135"/>
      <c r="H206" s="147"/>
      <c r="I206" s="148" t="s">
        <v>5</v>
      </c>
      <c r="J206" s="152">
        <f>Invoerensolo!$BH$29</f>
        <v>0</v>
      </c>
      <c r="L206" s="142" t="s">
        <v>95</v>
      </c>
      <c r="M206" s="142">
        <f>Invoerensolo!$C$2</f>
        <v>50</v>
      </c>
      <c r="N206" s="153" t="s">
        <v>81</v>
      </c>
      <c r="O206" s="154">
        <f>Invoerensolo!$BJ$29</f>
        <v>0</v>
      </c>
      <c r="P206" s="7">
        <f>Invoerensolo!$R$29</f>
      </c>
    </row>
    <row r="207" spans="1:16" ht="18.75" customHeight="1">
      <c r="A207" s="135"/>
      <c r="B207" s="135" t="s">
        <v>20</v>
      </c>
      <c r="C207" s="135">
        <f>Invoerensolo!$F$29</f>
        <v>0</v>
      </c>
      <c r="D207" s="96"/>
      <c r="F207" s="135"/>
      <c r="G207" s="135"/>
      <c r="H207" s="155"/>
      <c r="J207" s="152"/>
      <c r="L207" s="156" t="s">
        <v>17</v>
      </c>
      <c r="N207" s="142"/>
      <c r="O207" s="143">
        <f>Invoerensolo!$C$29</f>
        <v>0</v>
      </c>
      <c r="P207" s="157"/>
    </row>
    <row r="208" spans="1:10" ht="18.75" customHeight="1">
      <c r="A208" s="135"/>
      <c r="B208" s="135"/>
      <c r="C208" s="135"/>
      <c r="F208" s="135"/>
      <c r="G208" s="135"/>
      <c r="H208" s="147"/>
      <c r="I208" s="156"/>
      <c r="J208" s="152"/>
    </row>
    <row r="209" spans="1:16" ht="18.75" customHeight="1">
      <c r="A209" s="155">
        <f>Invoerensolo!$B$30</f>
        <v>4</v>
      </c>
      <c r="B209" s="161">
        <f>Invoerensolo!$D$30</f>
        <v>0</v>
      </c>
      <c r="C209" s="125">
        <f>Invoerensolo!M205</f>
        <v>0</v>
      </c>
      <c r="D209" s="126">
        <v>0.3</v>
      </c>
      <c r="E209" s="162">
        <f>Invoerensolo!$X$30</f>
        <v>0</v>
      </c>
      <c r="F209" s="162">
        <f>Invoerensolo!$Y$30</f>
        <v>0</v>
      </c>
      <c r="G209" s="162">
        <f>Invoerensolo!$Z$30</f>
        <v>0</v>
      </c>
      <c r="H209" s="163">
        <f>Invoerensolo!$AA$30</f>
        <v>0</v>
      </c>
      <c r="I209" s="163">
        <f>Invoerensolo!$AB$30</f>
        <v>0</v>
      </c>
      <c r="J209" s="136">
        <f>Invoerensolo!$AD$30</f>
        <v>0</v>
      </c>
      <c r="K209" s="130" t="s">
        <v>79</v>
      </c>
      <c r="L209" s="164" t="s">
        <v>80</v>
      </c>
      <c r="M209" s="165">
        <f>Invoerensolo!$C$1</f>
        <v>50</v>
      </c>
      <c r="N209" s="166" t="s">
        <v>81</v>
      </c>
      <c r="O209" s="167">
        <f>ROUND(Invoerensolo!$BR$30*Invoerensolo!$C$1/100,4)</f>
        <v>0</v>
      </c>
      <c r="P209" s="49">
        <f>Invoerensolo!$BS$30</f>
      </c>
    </row>
    <row r="210" spans="1:16" ht="18.75" customHeight="1">
      <c r="A210" s="135">
        <f>Invoerensolo!$I$30</f>
        <v>0</v>
      </c>
      <c r="B210" s="135">
        <f>Invoerensolo!$G$30</f>
        <v>0</v>
      </c>
      <c r="C210" s="135">
        <f>Invoerensolo!$H$30</f>
        <v>0</v>
      </c>
      <c r="D210" s="126">
        <v>0.4</v>
      </c>
      <c r="E210" s="127">
        <f>Invoerensolo!$AK$30</f>
        <v>0</v>
      </c>
      <c r="F210" s="127">
        <f>Invoerensolo!$AL$30</f>
        <v>0</v>
      </c>
      <c r="G210" s="127">
        <f>Invoerensolo!$AM$30</f>
        <v>0</v>
      </c>
      <c r="H210" s="128">
        <f>Invoerensolo!$AN$30</f>
        <v>0</v>
      </c>
      <c r="I210" s="128">
        <f>Invoerensolo!$AO$30</f>
        <v>0</v>
      </c>
      <c r="J210" s="136">
        <f>Invoerensolo!$AQ$30</f>
        <v>0</v>
      </c>
      <c r="K210" s="137" t="s">
        <v>82</v>
      </c>
      <c r="L210" s="138" t="s">
        <v>83</v>
      </c>
      <c r="M210" s="139">
        <f>Invoerensolo!$C$3</f>
        <v>0</v>
      </c>
      <c r="N210" s="140" t="s">
        <v>81</v>
      </c>
      <c r="O210" s="141">
        <f>ROUND(Invoerensolo!$O$30*Invoerensolo!$C$3/100,4)</f>
        <v>0</v>
      </c>
      <c r="P210" s="7">
        <f>Invoerensolo!$P$30</f>
      </c>
    </row>
    <row r="211" spans="1:11" ht="18.75" customHeight="1">
      <c r="A211" s="135">
        <f>Invoerensolo!$L$30</f>
        <v>0</v>
      </c>
      <c r="B211" s="135">
        <f>Invoerensolo!$J$30</f>
        <v>0</v>
      </c>
      <c r="C211" s="135">
        <f>Invoerensolo!$K$30</f>
        <v>0</v>
      </c>
      <c r="D211" s="126">
        <v>0.3</v>
      </c>
      <c r="E211" s="127">
        <f>Invoerensolo!$AX$30</f>
        <v>0</v>
      </c>
      <c r="F211" s="127">
        <f>Invoerensolo!$AY$30</f>
        <v>0</v>
      </c>
      <c r="G211" s="127">
        <f>Invoerensolo!$AZ$30</f>
        <v>0</v>
      </c>
      <c r="H211" s="128">
        <f>Invoerensolo!$BA$30</f>
        <v>0</v>
      </c>
      <c r="I211" s="128">
        <f>Invoerensolo!$BB$30</f>
        <v>0</v>
      </c>
      <c r="J211" s="136">
        <f>Invoerensolo!$BD$30</f>
        <v>0</v>
      </c>
      <c r="K211" s="137" t="s">
        <v>84</v>
      </c>
    </row>
    <row r="212" spans="1:10" ht="18.75" customHeight="1">
      <c r="A212" s="135"/>
      <c r="B212" s="135"/>
      <c r="C212" s="135"/>
      <c r="F212" s="144"/>
      <c r="G212" s="144"/>
      <c r="H212" s="145"/>
      <c r="I212" s="145"/>
      <c r="J212" s="146">
        <f>SUM(J209:J211)</f>
        <v>0</v>
      </c>
    </row>
    <row r="213" spans="1:11" ht="18.75" customHeight="1">
      <c r="A213" s="135"/>
      <c r="B213" s="135"/>
      <c r="C213" s="135"/>
      <c r="F213" s="135"/>
      <c r="G213" s="135"/>
      <c r="H213" s="147"/>
      <c r="I213" s="148" t="s">
        <v>85</v>
      </c>
      <c r="J213" s="149">
        <f>Invoerensolo!$BG$30</f>
        <v>0</v>
      </c>
      <c r="K213" s="137" t="s">
        <v>86</v>
      </c>
    </row>
    <row r="214" spans="1:16" ht="18.75" customHeight="1">
      <c r="A214" s="135"/>
      <c r="B214" s="135" t="s">
        <v>19</v>
      </c>
      <c r="C214" s="135">
        <f>Invoerensolo!$E$30</f>
        <v>0</v>
      </c>
      <c r="D214" s="96"/>
      <c r="F214" s="135"/>
      <c r="G214" s="135"/>
      <c r="H214" s="147"/>
      <c r="I214" s="148" t="s">
        <v>5</v>
      </c>
      <c r="J214" s="152">
        <f>Invoerensolo!$BH$30</f>
        <v>0</v>
      </c>
      <c r="L214" s="142" t="s">
        <v>95</v>
      </c>
      <c r="M214" s="142">
        <f>Invoerensolo!$C$2</f>
        <v>50</v>
      </c>
      <c r="N214" s="153" t="s">
        <v>81</v>
      </c>
      <c r="O214" s="154">
        <f>Invoerensolo!$BJ$30</f>
        <v>0</v>
      </c>
      <c r="P214" s="7">
        <f>Invoerensolo!$R$30</f>
      </c>
    </row>
    <row r="215" spans="1:16" ht="18.75" customHeight="1">
      <c r="A215" s="135"/>
      <c r="B215" s="135" t="s">
        <v>20</v>
      </c>
      <c r="C215" s="135">
        <f>Invoerensolo!$F$30</f>
        <v>0</v>
      </c>
      <c r="D215" s="96"/>
      <c r="F215" s="135"/>
      <c r="G215" s="135"/>
      <c r="H215" s="155"/>
      <c r="J215" s="152"/>
      <c r="L215" s="156" t="s">
        <v>17</v>
      </c>
      <c r="N215" s="142"/>
      <c r="O215" s="143">
        <f>Invoerensolo!$C$30</f>
        <v>0</v>
      </c>
      <c r="P215" s="157"/>
    </row>
    <row r="216" spans="1:10" ht="18.75" customHeight="1">
      <c r="A216" s="135"/>
      <c r="B216" s="135"/>
      <c r="C216" s="135"/>
      <c r="F216" s="135"/>
      <c r="G216" s="135"/>
      <c r="H216" s="147"/>
      <c r="I216" s="156"/>
      <c r="J216" s="152"/>
    </row>
    <row r="217" spans="1:16" ht="18.75" customHeight="1">
      <c r="A217" s="155">
        <f>Invoerensolo!$B$31</f>
        <v>4</v>
      </c>
      <c r="B217" s="161">
        <f>Invoerensolo!$D$31</f>
        <v>0</v>
      </c>
      <c r="C217" s="125">
        <f>Invoerensolo!M213</f>
        <v>0</v>
      </c>
      <c r="D217" s="126">
        <v>0.3</v>
      </c>
      <c r="E217" s="162">
        <f>Invoerensolo!$X$31</f>
        <v>0</v>
      </c>
      <c r="F217" s="162">
        <f>Invoerensolo!$Y$31</f>
        <v>0</v>
      </c>
      <c r="G217" s="162">
        <f>Invoerensolo!$Z$31</f>
        <v>0</v>
      </c>
      <c r="H217" s="163">
        <f>Invoerensolo!$AA$31</f>
        <v>0</v>
      </c>
      <c r="I217" s="163">
        <f>Invoerensolo!$AB$31</f>
        <v>0</v>
      </c>
      <c r="J217" s="136">
        <f>Invoerensolo!$AD$31</f>
        <v>0</v>
      </c>
      <c r="K217" s="130" t="s">
        <v>79</v>
      </c>
      <c r="L217" s="164" t="s">
        <v>80</v>
      </c>
      <c r="M217" s="165">
        <f>Invoerensolo!$C$1</f>
        <v>50</v>
      </c>
      <c r="N217" s="166" t="s">
        <v>81</v>
      </c>
      <c r="O217" s="167">
        <f>ROUND(Invoerensolo!$BR$31*Invoerensolo!$C$1/100,4)</f>
        <v>0</v>
      </c>
      <c r="P217" s="49">
        <f>Invoerensolo!$BS$31</f>
      </c>
    </row>
    <row r="218" spans="1:16" ht="18.75" customHeight="1">
      <c r="A218" s="135">
        <f>Invoerensolo!$I$31</f>
        <v>0</v>
      </c>
      <c r="B218" s="135">
        <f>Invoerensolo!$G$31</f>
        <v>0</v>
      </c>
      <c r="C218" s="135">
        <f>Invoerensolo!$H$31</f>
        <v>0</v>
      </c>
      <c r="D218" s="126">
        <v>0.4</v>
      </c>
      <c r="E218" s="127">
        <f>Invoerensolo!$AK$31</f>
        <v>0</v>
      </c>
      <c r="F218" s="127">
        <f>Invoerensolo!$AL$31</f>
        <v>0</v>
      </c>
      <c r="G218" s="127">
        <f>Invoerensolo!$AM$31</f>
        <v>0</v>
      </c>
      <c r="H218" s="128">
        <f>Invoerensolo!$AN$31</f>
        <v>0</v>
      </c>
      <c r="I218" s="128">
        <f>Invoerensolo!$AO$31</f>
        <v>0</v>
      </c>
      <c r="J218" s="136">
        <f>Invoerensolo!$AQ$31</f>
        <v>0</v>
      </c>
      <c r="K218" s="137" t="s">
        <v>82</v>
      </c>
      <c r="L218" s="138" t="s">
        <v>83</v>
      </c>
      <c r="M218" s="139">
        <f>Invoerensolo!$C$3</f>
        <v>0</v>
      </c>
      <c r="N218" s="140" t="s">
        <v>81</v>
      </c>
      <c r="O218" s="141">
        <f>ROUND(Invoerensolo!$O$31*Invoerensolo!$C$3/100,4)</f>
        <v>0</v>
      </c>
      <c r="P218" s="7">
        <f>Invoerensolo!$P$31</f>
      </c>
    </row>
    <row r="219" spans="1:11" ht="18.75" customHeight="1">
      <c r="A219" s="135">
        <f>Invoerensolo!$L$31</f>
        <v>0</v>
      </c>
      <c r="B219" s="135">
        <f>Invoerensolo!$J$31</f>
        <v>0</v>
      </c>
      <c r="C219" s="135">
        <f>Invoerensolo!$K$31</f>
        <v>0</v>
      </c>
      <c r="D219" s="126">
        <v>0.3</v>
      </c>
      <c r="E219" s="127">
        <f>Invoerensolo!$AX$31</f>
        <v>0</v>
      </c>
      <c r="F219" s="127">
        <f>Invoerensolo!$AY$31</f>
        <v>0</v>
      </c>
      <c r="G219" s="127">
        <f>Invoerensolo!$AZ$31</f>
        <v>0</v>
      </c>
      <c r="H219" s="128">
        <f>Invoerensolo!$BA$31</f>
        <v>0</v>
      </c>
      <c r="I219" s="128">
        <f>Invoerensolo!$BB$31</f>
        <v>0</v>
      </c>
      <c r="J219" s="136">
        <f>Invoerensolo!$BD$31</f>
        <v>0</v>
      </c>
      <c r="K219" s="137" t="s">
        <v>84</v>
      </c>
    </row>
    <row r="220" spans="1:10" ht="18.75" customHeight="1">
      <c r="A220" s="135"/>
      <c r="B220" s="135"/>
      <c r="C220" s="135"/>
      <c r="F220" s="144"/>
      <c r="G220" s="144"/>
      <c r="H220" s="145"/>
      <c r="I220" s="145"/>
      <c r="J220" s="146">
        <f>SUM(J217:J219)</f>
        <v>0</v>
      </c>
    </row>
    <row r="221" spans="1:11" ht="18.75" customHeight="1">
      <c r="A221" s="135"/>
      <c r="B221" s="135"/>
      <c r="C221" s="135"/>
      <c r="F221" s="135"/>
      <c r="G221" s="135"/>
      <c r="H221" s="147"/>
      <c r="I221" s="148" t="s">
        <v>85</v>
      </c>
      <c r="J221" s="149">
        <f>Invoerensolo!$BG$31</f>
        <v>0</v>
      </c>
      <c r="K221" s="137" t="s">
        <v>86</v>
      </c>
    </row>
    <row r="222" spans="1:16" ht="18.75" customHeight="1">
      <c r="A222" s="135"/>
      <c r="B222" s="135" t="s">
        <v>19</v>
      </c>
      <c r="C222" s="135">
        <f>Invoerensolo!$E$31</f>
        <v>0</v>
      </c>
      <c r="D222" s="96"/>
      <c r="F222" s="135"/>
      <c r="G222" s="135"/>
      <c r="H222" s="147"/>
      <c r="I222" s="148" t="s">
        <v>5</v>
      </c>
      <c r="J222" s="152">
        <f>Invoerensolo!$BH$31</f>
        <v>0</v>
      </c>
      <c r="L222" s="142" t="s">
        <v>95</v>
      </c>
      <c r="M222" s="142">
        <f>Invoerensolo!$C$2</f>
        <v>50</v>
      </c>
      <c r="N222" s="153" t="s">
        <v>81</v>
      </c>
      <c r="O222" s="154">
        <f>Invoerensolo!$BJ$31</f>
        <v>0</v>
      </c>
      <c r="P222" s="7">
        <f>Invoerensolo!$R$31</f>
      </c>
    </row>
    <row r="223" spans="1:16" ht="18.75" customHeight="1">
      <c r="A223" s="135"/>
      <c r="B223" s="135" t="s">
        <v>20</v>
      </c>
      <c r="C223" s="135">
        <f>Invoerensolo!$F$31</f>
        <v>0</v>
      </c>
      <c r="D223" s="96"/>
      <c r="F223" s="135"/>
      <c r="G223" s="135"/>
      <c r="H223" s="155"/>
      <c r="J223" s="152"/>
      <c r="L223" s="156" t="s">
        <v>17</v>
      </c>
      <c r="N223" s="142"/>
      <c r="O223" s="143">
        <f>Invoerensolo!$C$31</f>
        <v>0</v>
      </c>
      <c r="P223" s="157"/>
    </row>
    <row r="224" spans="1:10" ht="18.75" customHeight="1">
      <c r="A224" s="135"/>
      <c r="B224" s="135"/>
      <c r="C224" s="135"/>
      <c r="F224" s="135"/>
      <c r="G224" s="135"/>
      <c r="H224" s="147"/>
      <c r="I224" s="156"/>
      <c r="J224" s="152"/>
    </row>
    <row r="225" spans="1:16" ht="18.75" customHeight="1">
      <c r="A225" s="155">
        <f>Invoerensolo!$B$32</f>
        <v>4</v>
      </c>
      <c r="B225" s="161">
        <f>Invoerensolo!$D$32</f>
        <v>0</v>
      </c>
      <c r="C225" s="125">
        <f>Invoerensolo!M221</f>
        <v>0</v>
      </c>
      <c r="D225" s="126">
        <v>0.3</v>
      </c>
      <c r="E225" s="162">
        <f>Invoerensolo!$X$32</f>
        <v>0</v>
      </c>
      <c r="F225" s="162">
        <f>Invoerensolo!$Y$32</f>
        <v>0</v>
      </c>
      <c r="G225" s="162">
        <f>Invoerensolo!$Z$32</f>
        <v>0</v>
      </c>
      <c r="H225" s="163">
        <f>Invoerensolo!$AA$32</f>
        <v>0</v>
      </c>
      <c r="I225" s="163">
        <f>Invoerensolo!$AB$32</f>
        <v>0</v>
      </c>
      <c r="J225" s="136">
        <f>Invoerensolo!$AD$32</f>
        <v>0</v>
      </c>
      <c r="K225" s="130" t="s">
        <v>79</v>
      </c>
      <c r="L225" s="164" t="s">
        <v>80</v>
      </c>
      <c r="M225" s="165">
        <f>Invoerensolo!$C$1</f>
        <v>50</v>
      </c>
      <c r="N225" s="166" t="s">
        <v>81</v>
      </c>
      <c r="O225" s="167">
        <f>ROUND(Invoerensolo!$BR$32*Invoerensolo!$C$1/100,4)</f>
        <v>0</v>
      </c>
      <c r="P225" s="49">
        <f>Invoerensolo!$BS$32</f>
      </c>
    </row>
    <row r="226" spans="1:16" ht="18.75" customHeight="1">
      <c r="A226" s="135">
        <f>Invoerensolo!$I$32</f>
        <v>0</v>
      </c>
      <c r="B226" s="135">
        <f>Invoerensolo!$G$32</f>
        <v>0</v>
      </c>
      <c r="C226" s="135">
        <f>Invoerensolo!$H$32</f>
        <v>0</v>
      </c>
      <c r="D226" s="126">
        <v>0.4</v>
      </c>
      <c r="E226" s="127">
        <f>Invoerensolo!$AK$32</f>
        <v>0</v>
      </c>
      <c r="F226" s="127">
        <f>Invoerensolo!$AL$32</f>
        <v>0</v>
      </c>
      <c r="G226" s="127">
        <f>Invoerensolo!$AM$32</f>
        <v>0</v>
      </c>
      <c r="H226" s="128">
        <f>Invoerensolo!$AN$32</f>
        <v>0</v>
      </c>
      <c r="I226" s="128">
        <f>Invoerensolo!$AO$32</f>
        <v>0</v>
      </c>
      <c r="J226" s="136">
        <f>Invoerensolo!$AQ$32</f>
        <v>0</v>
      </c>
      <c r="K226" s="137" t="s">
        <v>82</v>
      </c>
      <c r="L226" s="138" t="s">
        <v>83</v>
      </c>
      <c r="M226" s="139">
        <f>Invoerensolo!$C$3</f>
        <v>0</v>
      </c>
      <c r="N226" s="140" t="s">
        <v>81</v>
      </c>
      <c r="O226" s="141">
        <f>ROUND(Invoerensolo!$O$32*Invoerensolo!$C$3/100,4)</f>
        <v>0</v>
      </c>
      <c r="P226" s="7">
        <f>Invoerensolo!$P$32</f>
      </c>
    </row>
    <row r="227" spans="1:11" ht="18.75" customHeight="1">
      <c r="A227" s="135">
        <f>Invoerensolo!$L$32</f>
        <v>0</v>
      </c>
      <c r="B227" s="135">
        <f>Invoerensolo!$J$32</f>
        <v>0</v>
      </c>
      <c r="C227" s="135">
        <f>Invoerensolo!$K$32</f>
        <v>0</v>
      </c>
      <c r="D227" s="126">
        <v>0.3</v>
      </c>
      <c r="E227" s="127">
        <f>Invoerensolo!$AX$32</f>
        <v>0</v>
      </c>
      <c r="F227" s="127">
        <f>Invoerensolo!$AY$32</f>
        <v>0</v>
      </c>
      <c r="G227" s="127">
        <f>Invoerensolo!$AZ$32</f>
        <v>0</v>
      </c>
      <c r="H227" s="128">
        <f>Invoerensolo!$BA$32</f>
        <v>0</v>
      </c>
      <c r="I227" s="128">
        <f>Invoerensolo!$BB$32</f>
        <v>0</v>
      </c>
      <c r="J227" s="136">
        <f>Invoerensolo!$BD$32</f>
        <v>0</v>
      </c>
      <c r="K227" s="137" t="s">
        <v>84</v>
      </c>
    </row>
    <row r="228" spans="1:10" ht="18.75" customHeight="1">
      <c r="A228" s="135"/>
      <c r="B228" s="135"/>
      <c r="C228" s="135"/>
      <c r="F228" s="144"/>
      <c r="G228" s="144"/>
      <c r="H228" s="145"/>
      <c r="I228" s="145"/>
      <c r="J228" s="146">
        <f>SUM(J225:J227)</f>
        <v>0</v>
      </c>
    </row>
    <row r="229" spans="1:11" ht="18.75" customHeight="1">
      <c r="A229" s="135"/>
      <c r="B229" s="135"/>
      <c r="C229" s="135"/>
      <c r="F229" s="135"/>
      <c r="G229" s="135"/>
      <c r="H229" s="147"/>
      <c r="I229" s="148" t="s">
        <v>85</v>
      </c>
      <c r="J229" s="149">
        <f>Invoerensolo!$BG$32</f>
        <v>0</v>
      </c>
      <c r="K229" s="137" t="s">
        <v>86</v>
      </c>
    </row>
    <row r="230" spans="1:16" ht="18.75" customHeight="1">
      <c r="A230" s="135"/>
      <c r="B230" s="135" t="s">
        <v>19</v>
      </c>
      <c r="C230" s="135">
        <f>Invoerensolo!$E$32</f>
        <v>0</v>
      </c>
      <c r="D230" s="96"/>
      <c r="F230" s="135"/>
      <c r="G230" s="135"/>
      <c r="H230" s="147"/>
      <c r="I230" s="148" t="s">
        <v>5</v>
      </c>
      <c r="J230" s="152">
        <f>Invoerensolo!$BH$32</f>
        <v>0</v>
      </c>
      <c r="L230" s="142" t="s">
        <v>95</v>
      </c>
      <c r="M230" s="142">
        <f>Invoerensolo!$C$2</f>
        <v>50</v>
      </c>
      <c r="N230" s="153" t="s">
        <v>81</v>
      </c>
      <c r="O230" s="154">
        <f>Invoerensolo!$BJ$32</f>
        <v>0</v>
      </c>
      <c r="P230" s="7">
        <f>Invoerensolo!$R$32</f>
      </c>
    </row>
    <row r="231" spans="1:16" ht="18.75" customHeight="1">
      <c r="A231" s="135"/>
      <c r="B231" s="135" t="s">
        <v>20</v>
      </c>
      <c r="C231" s="135">
        <f>Invoerensolo!$F$32</f>
        <v>0</v>
      </c>
      <c r="D231" s="96"/>
      <c r="F231" s="135"/>
      <c r="G231" s="135"/>
      <c r="H231" s="155"/>
      <c r="J231" s="152"/>
      <c r="L231" s="156" t="s">
        <v>17</v>
      </c>
      <c r="N231" s="142"/>
      <c r="O231" s="143">
        <f>Invoerensolo!$C$32</f>
        <v>0</v>
      </c>
      <c r="P231" s="157"/>
    </row>
    <row r="232" spans="1:10" ht="18.75" customHeight="1">
      <c r="A232" s="135"/>
      <c r="B232" s="135"/>
      <c r="C232" s="135"/>
      <c r="F232" s="135"/>
      <c r="G232" s="135"/>
      <c r="H232" s="147"/>
      <c r="I232" s="156"/>
      <c r="J232" s="152"/>
    </row>
    <row r="233" spans="1:16" ht="18.75" customHeight="1">
      <c r="A233" s="155">
        <f>Invoerensolo!$B$33</f>
        <v>4</v>
      </c>
      <c r="B233" s="161">
        <f>Invoerensolo!$D$33</f>
        <v>0</v>
      </c>
      <c r="C233" s="125">
        <f>Invoerensolo!M229</f>
        <v>0</v>
      </c>
      <c r="D233" s="126">
        <v>0.3</v>
      </c>
      <c r="E233" s="162">
        <f>Invoerensolo!$X$33</f>
        <v>0</v>
      </c>
      <c r="F233" s="162">
        <f>Invoerensolo!$Y$33</f>
        <v>0</v>
      </c>
      <c r="G233" s="162">
        <f>Invoerensolo!$Z$33</f>
        <v>0</v>
      </c>
      <c r="H233" s="163">
        <f>Invoerensolo!$AA$33</f>
        <v>0</v>
      </c>
      <c r="I233" s="163">
        <f>Invoerensolo!$AB$33</f>
        <v>0</v>
      </c>
      <c r="J233" s="136">
        <f>Invoerensolo!$AD$33</f>
        <v>0</v>
      </c>
      <c r="K233" s="130" t="s">
        <v>79</v>
      </c>
      <c r="L233" s="164" t="s">
        <v>80</v>
      </c>
      <c r="M233" s="165">
        <f>Invoerensolo!$C$1</f>
        <v>50</v>
      </c>
      <c r="N233" s="166" t="s">
        <v>81</v>
      </c>
      <c r="O233" s="167">
        <f>ROUND(Invoerensolo!$BR$33*Invoerensolo!$C$1/100,4)</f>
        <v>0</v>
      </c>
      <c r="P233" s="49">
        <f>Invoerensolo!$BS$33</f>
      </c>
    </row>
    <row r="234" spans="1:16" ht="18.75" customHeight="1">
      <c r="A234" s="135">
        <f>Invoerensolo!$I$33</f>
        <v>0</v>
      </c>
      <c r="B234" s="135">
        <f>Invoerensolo!$G$33</f>
        <v>0</v>
      </c>
      <c r="C234" s="135">
        <f>Invoerensolo!$H$33</f>
        <v>0</v>
      </c>
      <c r="D234" s="126">
        <v>0.4</v>
      </c>
      <c r="E234" s="127">
        <f>Invoerensolo!$AK$33</f>
        <v>0</v>
      </c>
      <c r="F234" s="127">
        <f>Invoerensolo!$AL$33</f>
        <v>0</v>
      </c>
      <c r="G234" s="127">
        <f>Invoerensolo!$AM$33</f>
        <v>0</v>
      </c>
      <c r="H234" s="128">
        <f>Invoerensolo!$AN$33</f>
        <v>0</v>
      </c>
      <c r="I234" s="128">
        <f>Invoerensolo!$AO$33</f>
        <v>0</v>
      </c>
      <c r="J234" s="136">
        <f>Invoerensolo!$AQ$33</f>
        <v>0</v>
      </c>
      <c r="K234" s="137" t="s">
        <v>82</v>
      </c>
      <c r="L234" s="138" t="s">
        <v>83</v>
      </c>
      <c r="M234" s="139">
        <f>Invoerensolo!$C$3</f>
        <v>0</v>
      </c>
      <c r="N234" s="140" t="s">
        <v>81</v>
      </c>
      <c r="O234" s="141">
        <f>ROUND(Invoerensolo!$O$33*Invoerensolo!$C$3/100,4)</f>
        <v>0</v>
      </c>
      <c r="P234" s="7">
        <f>Invoerensolo!$P$33</f>
      </c>
    </row>
    <row r="235" spans="1:11" ht="18.75" customHeight="1">
      <c r="A235" s="135">
        <f>Invoerensolo!$L$33</f>
        <v>0</v>
      </c>
      <c r="B235" s="135">
        <f>Invoerensolo!$J$33</f>
        <v>0</v>
      </c>
      <c r="C235" s="135">
        <f>Invoerensolo!$K$33</f>
        <v>0</v>
      </c>
      <c r="D235" s="126">
        <v>0.3</v>
      </c>
      <c r="E235" s="127">
        <f>Invoerensolo!$AX$33</f>
        <v>0</v>
      </c>
      <c r="F235" s="127">
        <f>Invoerensolo!$AY$33</f>
        <v>0</v>
      </c>
      <c r="G235" s="127">
        <f>Invoerensolo!$AZ$33</f>
        <v>0</v>
      </c>
      <c r="H235" s="128">
        <f>Invoerensolo!$BA$33</f>
        <v>0</v>
      </c>
      <c r="I235" s="128">
        <f>Invoerensolo!$BB$33</f>
        <v>0</v>
      </c>
      <c r="J235" s="136">
        <f>Invoerensolo!$BD$33</f>
        <v>0</v>
      </c>
      <c r="K235" s="137" t="s">
        <v>84</v>
      </c>
    </row>
    <row r="236" spans="1:10" ht="18.75" customHeight="1">
      <c r="A236" s="135"/>
      <c r="B236" s="135"/>
      <c r="C236" s="135"/>
      <c r="F236" s="144"/>
      <c r="G236" s="144"/>
      <c r="H236" s="145"/>
      <c r="I236" s="145"/>
      <c r="J236" s="146">
        <f>SUM(J233:J235)</f>
        <v>0</v>
      </c>
    </row>
    <row r="237" spans="1:11" ht="18.75" customHeight="1">
      <c r="A237" s="135"/>
      <c r="B237" s="135"/>
      <c r="C237" s="135"/>
      <c r="F237" s="135"/>
      <c r="G237" s="135"/>
      <c r="H237" s="147"/>
      <c r="I237" s="148" t="s">
        <v>85</v>
      </c>
      <c r="J237" s="149">
        <f>Invoerensolo!$BG$33</f>
        <v>0</v>
      </c>
      <c r="K237" s="137" t="s">
        <v>86</v>
      </c>
    </row>
    <row r="238" spans="1:16" ht="18.75" customHeight="1">
      <c r="A238" s="135"/>
      <c r="B238" s="135" t="s">
        <v>19</v>
      </c>
      <c r="C238" s="135">
        <f>Invoerensolo!$E$33</f>
        <v>0</v>
      </c>
      <c r="D238" s="96"/>
      <c r="F238" s="135"/>
      <c r="G238" s="135"/>
      <c r="H238" s="147"/>
      <c r="I238" s="148" t="s">
        <v>5</v>
      </c>
      <c r="J238" s="152">
        <f>Invoerensolo!$BH$33</f>
        <v>0</v>
      </c>
      <c r="L238" s="142" t="s">
        <v>95</v>
      </c>
      <c r="M238" s="142">
        <f>Invoerensolo!$C$2</f>
        <v>50</v>
      </c>
      <c r="N238" s="153" t="s">
        <v>81</v>
      </c>
      <c r="O238" s="154">
        <f>Invoerensolo!$BJ$33</f>
        <v>0</v>
      </c>
      <c r="P238" s="7">
        <f>Invoerensolo!$R$33</f>
      </c>
    </row>
    <row r="239" spans="1:16" ht="18.75" customHeight="1">
      <c r="A239" s="135"/>
      <c r="B239" s="135" t="s">
        <v>20</v>
      </c>
      <c r="C239" s="135">
        <f>Invoerensolo!$F$33</f>
        <v>0</v>
      </c>
      <c r="D239" s="96"/>
      <c r="F239" s="135"/>
      <c r="G239" s="135"/>
      <c r="H239" s="155"/>
      <c r="J239" s="152"/>
      <c r="L239" s="156" t="s">
        <v>17</v>
      </c>
      <c r="N239" s="142"/>
      <c r="O239" s="143">
        <f>Invoerensolo!$C$33</f>
        <v>0</v>
      </c>
      <c r="P239" s="157"/>
    </row>
    <row r="240" spans="1:10" ht="18.75" customHeight="1">
      <c r="A240" s="135"/>
      <c r="B240" s="135"/>
      <c r="C240" s="135"/>
      <c r="F240" s="135"/>
      <c r="G240" s="135"/>
      <c r="H240" s="147"/>
      <c r="I240" s="156"/>
      <c r="J240" s="152"/>
    </row>
    <row r="241" spans="1:16" ht="18.75" customHeight="1">
      <c r="A241" s="155">
        <f>Invoerensolo!$B$34</f>
        <v>4</v>
      </c>
      <c r="B241" s="161">
        <f>Invoerensolo!$D$34</f>
        <v>0</v>
      </c>
      <c r="C241" s="125">
        <f>Invoerensolo!M237</f>
        <v>0</v>
      </c>
      <c r="D241" s="126">
        <v>0.3</v>
      </c>
      <c r="E241" s="162">
        <f>Invoerensolo!$X$34</f>
        <v>0</v>
      </c>
      <c r="F241" s="162">
        <f>Invoerensolo!$Y$34</f>
        <v>0</v>
      </c>
      <c r="G241" s="162">
        <f>Invoerensolo!$Z$34</f>
        <v>0</v>
      </c>
      <c r="H241" s="163">
        <f>Invoerensolo!$AA$34</f>
        <v>0</v>
      </c>
      <c r="I241" s="163">
        <f>Invoerensolo!$AB$34</f>
        <v>0</v>
      </c>
      <c r="J241" s="136">
        <f>Invoerensolo!$AD$34</f>
        <v>0</v>
      </c>
      <c r="K241" s="130" t="s">
        <v>79</v>
      </c>
      <c r="L241" s="164" t="s">
        <v>80</v>
      </c>
      <c r="M241" s="165">
        <f>Invoerensolo!$C$1</f>
        <v>50</v>
      </c>
      <c r="N241" s="166" t="s">
        <v>81</v>
      </c>
      <c r="O241" s="167">
        <f>ROUND(Invoerensolo!$BR$34*Invoerensolo!$C$1/100,4)</f>
        <v>0</v>
      </c>
      <c r="P241" s="49">
        <f>Invoerensolo!$BS$34</f>
      </c>
    </row>
    <row r="242" spans="1:16" ht="18.75" customHeight="1">
      <c r="A242" s="135">
        <f>Invoerensolo!$I$34</f>
        <v>0</v>
      </c>
      <c r="B242" s="135">
        <f>Invoerensolo!$G$34</f>
        <v>0</v>
      </c>
      <c r="C242" s="135">
        <f>Invoerensolo!$H$34</f>
        <v>0</v>
      </c>
      <c r="D242" s="126">
        <v>0.4</v>
      </c>
      <c r="E242" s="127">
        <f>Invoerensolo!$AK$34</f>
        <v>0</v>
      </c>
      <c r="F242" s="127">
        <f>Invoerensolo!$AL$34</f>
        <v>0</v>
      </c>
      <c r="G242" s="127">
        <f>Invoerensolo!$AM$34</f>
        <v>0</v>
      </c>
      <c r="H242" s="128">
        <f>Invoerensolo!$AN$34</f>
        <v>0</v>
      </c>
      <c r="I242" s="128">
        <f>Invoerensolo!$AO$34</f>
        <v>0</v>
      </c>
      <c r="J242" s="136">
        <f>Invoerensolo!$AQ$34</f>
        <v>0</v>
      </c>
      <c r="K242" s="137" t="s">
        <v>82</v>
      </c>
      <c r="L242" s="138" t="s">
        <v>83</v>
      </c>
      <c r="M242" s="139">
        <f>Invoerensolo!$C$3</f>
        <v>0</v>
      </c>
      <c r="N242" s="140" t="s">
        <v>81</v>
      </c>
      <c r="O242" s="141">
        <f>ROUND(Invoerensolo!$O$34*Invoerensolo!$C$3/100,4)</f>
        <v>0</v>
      </c>
      <c r="P242" s="7">
        <f>Invoerensolo!$P$34</f>
        <v>1</v>
      </c>
    </row>
    <row r="243" spans="1:11" ht="18.75" customHeight="1">
      <c r="A243" s="135">
        <f>Invoerensolo!$L$34</f>
        <v>0</v>
      </c>
      <c r="B243" s="135">
        <f>Invoerensolo!$J$34</f>
        <v>0</v>
      </c>
      <c r="C243" s="135">
        <f>Invoerensolo!$K$34</f>
        <v>0</v>
      </c>
      <c r="D243" s="126">
        <v>0.3</v>
      </c>
      <c r="E243" s="127">
        <f>Invoerensolo!$AX$34</f>
        <v>0</v>
      </c>
      <c r="F243" s="127">
        <f>Invoerensolo!$AY$34</f>
        <v>0</v>
      </c>
      <c r="G243" s="127">
        <f>Invoerensolo!$AZ$34</f>
        <v>0</v>
      </c>
      <c r="H243" s="128">
        <f>Invoerensolo!$BA$34</f>
        <v>0</v>
      </c>
      <c r="I243" s="128">
        <f>Invoerensolo!$BB$34</f>
        <v>0</v>
      </c>
      <c r="J243" s="136">
        <f>Invoerensolo!$BD$34</f>
        <v>0</v>
      </c>
      <c r="K243" s="137" t="s">
        <v>84</v>
      </c>
    </row>
    <row r="244" spans="1:10" ht="18.75" customHeight="1">
      <c r="A244" s="135"/>
      <c r="B244" s="135"/>
      <c r="C244" s="135"/>
      <c r="F244" s="144"/>
      <c r="G244" s="144"/>
      <c r="H244" s="145"/>
      <c r="I244" s="145"/>
      <c r="J244" s="146">
        <f>SUM(J241:J243)</f>
        <v>0</v>
      </c>
    </row>
    <row r="245" spans="1:11" ht="18.75" customHeight="1">
      <c r="A245" s="135"/>
      <c r="B245" s="135"/>
      <c r="C245" s="135"/>
      <c r="F245" s="135"/>
      <c r="G245" s="135"/>
      <c r="H245" s="147"/>
      <c r="I245" s="148" t="s">
        <v>85</v>
      </c>
      <c r="J245" s="149">
        <f>Invoerensolo!$BG$34</f>
        <v>0</v>
      </c>
      <c r="K245" s="137" t="s">
        <v>86</v>
      </c>
    </row>
    <row r="246" spans="1:16" ht="18.75" customHeight="1">
      <c r="A246" s="135"/>
      <c r="B246" s="135" t="s">
        <v>19</v>
      </c>
      <c r="C246" s="135">
        <f>Invoerensolo!$E$34</f>
        <v>0</v>
      </c>
      <c r="D246" s="96"/>
      <c r="F246" s="135"/>
      <c r="G246" s="135"/>
      <c r="H246" s="147"/>
      <c r="I246" s="148" t="s">
        <v>5</v>
      </c>
      <c r="J246" s="152">
        <f>Invoerensolo!$BH$34</f>
        <v>0</v>
      </c>
      <c r="L246" s="142" t="s">
        <v>95</v>
      </c>
      <c r="M246" s="142">
        <f>Invoerensolo!$C$2</f>
        <v>50</v>
      </c>
      <c r="N246" s="153" t="s">
        <v>81</v>
      </c>
      <c r="O246" s="154">
        <f>Invoerensolo!$BJ$34</f>
        <v>0</v>
      </c>
      <c r="P246" s="7">
        <f>Invoerensolo!$R$34</f>
      </c>
    </row>
    <row r="247" spans="1:16" ht="18.75" customHeight="1">
      <c r="A247" s="135"/>
      <c r="B247" s="135" t="s">
        <v>20</v>
      </c>
      <c r="C247" s="135">
        <f>Invoerensolo!$F$34</f>
        <v>0</v>
      </c>
      <c r="D247" s="96"/>
      <c r="F247" s="135"/>
      <c r="G247" s="135"/>
      <c r="H247" s="155"/>
      <c r="J247" s="152"/>
      <c r="L247" s="156" t="s">
        <v>17</v>
      </c>
      <c r="N247" s="142"/>
      <c r="O247" s="143">
        <f>Invoerensolo!$C$34</f>
        <v>0</v>
      </c>
      <c r="P247" s="157"/>
    </row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</sheetData>
  <sheetProtection selectLockedCells="1" selectUnlockedCells="1"/>
  <mergeCells count="4">
    <mergeCell ref="J1:K1"/>
    <mergeCell ref="L1:N1"/>
    <mergeCell ref="J2:K2"/>
    <mergeCell ref="L2:N2"/>
  </mergeCells>
  <printOptions/>
  <pageMargins left="0.25" right="0.25" top="0.75" bottom="0.75" header="0.5118055555555555" footer="0.3"/>
  <pageSetup horizontalDpi="300" verticalDpi="300" orientation="portrait" paperSize="9" scale="74" r:id="rId1"/>
  <headerFooter alignWithMargins="0">
    <oddFooter>&amp;L&amp;8&amp;P/&amp;N&amp;R&amp;8&amp;A</oddFooter>
  </headerFooter>
  <rowBreaks count="4" manualBreakCount="4">
    <brk id="56" max="255" man="1"/>
    <brk id="104" max="255" man="1"/>
    <brk id="152" max="255" man="1"/>
    <brk id="2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T42"/>
  <sheetViews>
    <sheetView showZeros="0" view="pageBreakPreview" zoomScaleNormal="110" zoomScaleSheetLayoutView="100" zoomScalePageLayoutView="0" workbookViewId="0" topLeftCell="A1">
      <selection activeCell="Q4" sqref="Q4"/>
    </sheetView>
  </sheetViews>
  <sheetFormatPr defaultColWidth="9.00390625" defaultRowHeight="12.75"/>
  <cols>
    <col min="1" max="17" width="6.25390625" style="190" customWidth="1"/>
    <col min="18" max="18" width="5.25390625" style="190" customWidth="1"/>
    <col min="19" max="16384" width="9.125" style="190" customWidth="1"/>
  </cols>
  <sheetData>
    <row r="1" spans="1:18" ht="47.25" customHeight="1">
      <c r="A1" s="191" t="s">
        <v>96</v>
      </c>
      <c r="P1" s="420"/>
      <c r="Q1" s="420"/>
      <c r="R1" s="192"/>
    </row>
    <row r="2" spans="1:16" ht="20.25">
      <c r="A2" s="193" t="s">
        <v>97</v>
      </c>
      <c r="M2" s="415" t="s">
        <v>98</v>
      </c>
      <c r="N2" s="415"/>
      <c r="O2" s="421">
        <v>3</v>
      </c>
      <c r="P2" s="421"/>
    </row>
    <row r="3" spans="1:17" ht="15" customHeight="1">
      <c r="A3" s="194" t="s">
        <v>99</v>
      </c>
      <c r="B3" s="195"/>
      <c r="C3" s="419" t="str">
        <f>'Startlijst solo'!B1</f>
        <v>LSZK-A</v>
      </c>
      <c r="D3" s="419"/>
      <c r="E3" s="419"/>
      <c r="F3" s="419"/>
      <c r="G3" s="419"/>
      <c r="H3" s="419"/>
      <c r="I3" s="419"/>
      <c r="J3" s="419"/>
      <c r="K3" s="419"/>
      <c r="L3" s="419"/>
      <c r="M3" s="415" t="s">
        <v>100</v>
      </c>
      <c r="N3" s="415"/>
      <c r="O3" s="401" t="s">
        <v>64</v>
      </c>
      <c r="P3" s="401"/>
      <c r="Q3" s="196"/>
    </row>
    <row r="4" spans="1:17" ht="15" customHeight="1">
      <c r="A4" s="416" t="s">
        <v>101</v>
      </c>
      <c r="B4" s="416"/>
      <c r="C4" s="419" t="str">
        <f>'Startlijst solo'!D2</f>
        <v>Zwembad: De Sprank te Venray</v>
      </c>
      <c r="D4" s="419"/>
      <c r="E4" s="419"/>
      <c r="F4" s="419"/>
      <c r="G4" s="419"/>
      <c r="H4" s="419"/>
      <c r="I4" s="419"/>
      <c r="J4" s="419"/>
      <c r="K4" s="419"/>
      <c r="L4" s="419"/>
      <c r="M4" s="415" t="s">
        <v>102</v>
      </c>
      <c r="N4" s="415"/>
      <c r="O4" s="401"/>
      <c r="P4" s="401"/>
      <c r="Q4" s="196"/>
    </row>
    <row r="5" spans="1:17" ht="15" customHeight="1">
      <c r="A5" s="194" t="s">
        <v>66</v>
      </c>
      <c r="B5" s="195"/>
      <c r="C5" s="417">
        <f>'Startlijst solo'!N1</f>
        <v>41805</v>
      </c>
      <c r="D5" s="417"/>
      <c r="E5" s="417"/>
      <c r="F5" s="417"/>
      <c r="G5" s="417"/>
      <c r="H5" s="417"/>
      <c r="I5" s="417"/>
      <c r="J5" s="417"/>
      <c r="K5" s="417"/>
      <c r="L5" s="417"/>
      <c r="M5" s="415" t="s">
        <v>103</v>
      </c>
      <c r="N5" s="415"/>
      <c r="O5" s="401" t="s">
        <v>104</v>
      </c>
      <c r="P5" s="401"/>
      <c r="Q5" s="196"/>
    </row>
    <row r="6" spans="1:16" ht="15" customHeight="1">
      <c r="A6" s="416" t="s">
        <v>105</v>
      </c>
      <c r="B6" s="416"/>
      <c r="C6" s="417" t="str">
        <f>VLOOKUP($O$2,Invoerensolo!$A$4:$CZ$33,4,FALSE)</f>
        <v>ZC Eijsden</v>
      </c>
      <c r="D6" s="417"/>
      <c r="E6" s="417"/>
      <c r="F6" s="417"/>
      <c r="G6" s="417"/>
      <c r="H6" s="417"/>
      <c r="I6" s="417"/>
      <c r="J6" s="417"/>
      <c r="K6" s="417"/>
      <c r="L6" s="417"/>
      <c r="M6" s="415" t="s">
        <v>106</v>
      </c>
      <c r="N6" s="415"/>
      <c r="O6" s="401"/>
      <c r="P6" s="401"/>
    </row>
    <row r="7" spans="1:16" ht="15" customHeight="1">
      <c r="A7" s="194" t="s">
        <v>107</v>
      </c>
      <c r="B7" s="195"/>
      <c r="C7" s="198"/>
      <c r="D7" s="199"/>
      <c r="E7" s="200"/>
      <c r="F7" s="201"/>
      <c r="G7" s="201"/>
      <c r="H7" s="201"/>
      <c r="I7" s="201" t="s">
        <v>64</v>
      </c>
      <c r="J7" s="197" t="s">
        <v>108</v>
      </c>
      <c r="K7" s="418" t="str">
        <f>VLOOKUP($O$2,Invoerensolo!$A$4:$CZ$33,13,FALSE)</f>
        <v>Limburg</v>
      </c>
      <c r="L7" s="418"/>
      <c r="M7" s="415" t="s">
        <v>109</v>
      </c>
      <c r="N7" s="415"/>
      <c r="O7" s="401"/>
      <c r="P7" s="401"/>
    </row>
    <row r="8" spans="1:16" ht="15" customHeight="1">
      <c r="A8" s="414" t="s">
        <v>110</v>
      </c>
      <c r="B8" s="414"/>
      <c r="C8" s="202" t="str">
        <f>VLOOKUP($O$2,Invoerensolo!$A$4:$CZ$33,5,FALSE)</f>
        <v>Hasta Que Salga el Sol</v>
      </c>
      <c r="D8" s="202"/>
      <c r="E8" s="202"/>
      <c r="F8" s="202"/>
      <c r="G8" s="202"/>
      <c r="H8" s="202"/>
      <c r="I8" s="202"/>
      <c r="J8" s="202"/>
      <c r="K8" s="203"/>
      <c r="M8" s="415" t="s">
        <v>111</v>
      </c>
      <c r="N8" s="415"/>
      <c r="O8" s="401"/>
      <c r="P8" s="401"/>
    </row>
    <row r="9" spans="1:16" ht="15" customHeight="1">
      <c r="A9" s="414" t="s">
        <v>112</v>
      </c>
      <c r="B9" s="414"/>
      <c r="C9" s="202" t="str">
        <f>VLOOKUP($O$2,Invoerensolo!$A$4:$CZ$33,6,FALSE)</f>
        <v>Evelien Wolfs</v>
      </c>
      <c r="D9" s="202"/>
      <c r="E9" s="202"/>
      <c r="F9" s="202"/>
      <c r="G9" s="202"/>
      <c r="H9" s="202"/>
      <c r="I9" s="202"/>
      <c r="J9" s="202"/>
      <c r="K9" s="203"/>
      <c r="M9" s="415" t="s">
        <v>113</v>
      </c>
      <c r="N9" s="415"/>
      <c r="O9" s="401"/>
      <c r="P9" s="401"/>
    </row>
    <row r="10" spans="1:20" ht="15" customHeight="1">
      <c r="A10" s="194" t="s">
        <v>64</v>
      </c>
      <c r="B10" s="195"/>
      <c r="C10" s="407" t="s">
        <v>64</v>
      </c>
      <c r="D10" s="407"/>
      <c r="E10" s="407"/>
      <c r="F10" s="407"/>
      <c r="G10" s="407"/>
      <c r="H10" s="407"/>
      <c r="I10" s="407"/>
      <c r="J10" s="407"/>
      <c r="K10" s="204" t="s">
        <v>64</v>
      </c>
      <c r="L10" s="204" t="s">
        <v>64</v>
      </c>
      <c r="M10" s="408" t="s">
        <v>64</v>
      </c>
      <c r="N10" s="408"/>
      <c r="O10" s="409" t="s">
        <v>64</v>
      </c>
      <c r="P10" s="409"/>
      <c r="T10" s="190" t="s">
        <v>64</v>
      </c>
    </row>
    <row r="11" spans="1:19" ht="15" customHeight="1">
      <c r="A11" s="194"/>
      <c r="B11" s="195"/>
      <c r="C11" s="205" t="s">
        <v>114</v>
      </c>
      <c r="D11" s="410" t="s">
        <v>115</v>
      </c>
      <c r="E11" s="410"/>
      <c r="F11" s="410"/>
      <c r="G11" s="410"/>
      <c r="H11" s="410"/>
      <c r="I11" s="410"/>
      <c r="J11" s="410"/>
      <c r="K11" s="411" t="s">
        <v>116</v>
      </c>
      <c r="L11" s="411"/>
      <c r="M11" s="412" t="s">
        <v>117</v>
      </c>
      <c r="N11" s="412"/>
      <c r="O11" s="413" t="s">
        <v>118</v>
      </c>
      <c r="P11" s="413"/>
      <c r="Q11" s="206" t="s">
        <v>64</v>
      </c>
      <c r="R11" s="206"/>
      <c r="S11" s="190" t="s">
        <v>64</v>
      </c>
    </row>
    <row r="12" spans="1:18" ht="15" customHeight="1">
      <c r="A12" s="194" t="s">
        <v>119</v>
      </c>
      <c r="B12" s="195"/>
      <c r="C12" s="207">
        <v>1</v>
      </c>
      <c r="D12" s="401" t="str">
        <f>VLOOKUP($O$2,Invoerensolo!$A$4:$CZ$33,7,FALSE)</f>
        <v>Anne Willems</v>
      </c>
      <c r="E12" s="401"/>
      <c r="F12" s="401"/>
      <c r="G12" s="401"/>
      <c r="H12" s="401"/>
      <c r="I12" s="401"/>
      <c r="J12" s="401"/>
      <c r="K12" s="401">
        <f>VLOOKUP($O$2,Invoerensolo!$A$4:$CZ$33,8,FALSE)</f>
        <v>200300796</v>
      </c>
      <c r="L12" s="401"/>
      <c r="M12" s="402">
        <f>VLOOKUP($O$2,Invoerensolo!$A$4:$CZ$33,65,FALSE)</f>
        <v>45.6444</v>
      </c>
      <c r="N12" s="402"/>
      <c r="O12" s="406">
        <f>VLOOKUP($O$2,Invoerensolo!$A$4:$CZ$33,67,FALSE)</f>
        <v>45.6444</v>
      </c>
      <c r="P12" s="406"/>
      <c r="Q12" s="195"/>
      <c r="R12" s="195"/>
    </row>
    <row r="13" spans="1:18" ht="15" customHeight="1">
      <c r="A13" s="195"/>
      <c r="B13" s="195"/>
      <c r="C13" s="208">
        <v>2</v>
      </c>
      <c r="D13" s="401">
        <f>VLOOKUP($O$2,Invoerensolo!$A$4:$CZ$33,10,FALSE)</f>
        <v>0</v>
      </c>
      <c r="E13" s="401"/>
      <c r="F13" s="401"/>
      <c r="G13" s="401"/>
      <c r="H13" s="401"/>
      <c r="I13" s="401"/>
      <c r="J13" s="401"/>
      <c r="K13" s="401">
        <f>VLOOKUP($O$2,Invoerensolo!$A$4:$CZ$33,11,FALSE)</f>
        <v>0</v>
      </c>
      <c r="L13" s="401"/>
      <c r="M13" s="402">
        <f>VLOOKUP($O$2,Invoerensolo!$A$4:$CZ$33,66,FALSE)</f>
        <v>0</v>
      </c>
      <c r="N13" s="402"/>
      <c r="O13" s="403">
        <f>VLOOKUP($O$2,Invoerensolo!$A$4:$CZ$33,68,FALSE)</f>
      </c>
      <c r="P13" s="403"/>
      <c r="Q13" s="195"/>
      <c r="R13" s="195"/>
    </row>
    <row r="14" spans="1:18" ht="15" customHeight="1">
      <c r="A14" s="195"/>
      <c r="B14" s="195"/>
      <c r="C14" s="208">
        <v>3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2"/>
      <c r="N14" s="402"/>
      <c r="O14" s="403"/>
      <c r="P14" s="403"/>
      <c r="Q14" s="195"/>
      <c r="R14" s="195"/>
    </row>
    <row r="15" spans="1:18" ht="15" customHeight="1">
      <c r="A15" s="195"/>
      <c r="B15" s="195"/>
      <c r="C15" s="208">
        <v>4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402"/>
      <c r="O15" s="403"/>
      <c r="P15" s="403"/>
      <c r="Q15" s="195"/>
      <c r="R15" s="195"/>
    </row>
    <row r="16" spans="1:18" ht="15" customHeight="1">
      <c r="A16" s="195"/>
      <c r="B16" s="195"/>
      <c r="C16" s="208">
        <v>5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402"/>
      <c r="O16" s="403"/>
      <c r="P16" s="403"/>
      <c r="Q16" s="195"/>
      <c r="R16" s="195"/>
    </row>
    <row r="17" spans="1:18" ht="15" customHeight="1">
      <c r="A17" s="195"/>
      <c r="B17" s="195"/>
      <c r="C17" s="208">
        <v>6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402"/>
      <c r="O17" s="403"/>
      <c r="P17" s="403"/>
      <c r="Q17" s="195"/>
      <c r="R17" s="195"/>
    </row>
    <row r="18" spans="1:18" ht="15" customHeight="1">
      <c r="A18" s="195"/>
      <c r="B18" s="195"/>
      <c r="C18" s="208">
        <v>7</v>
      </c>
      <c r="D18" s="401"/>
      <c r="E18" s="401"/>
      <c r="F18" s="401"/>
      <c r="G18" s="401"/>
      <c r="H18" s="401"/>
      <c r="I18" s="401"/>
      <c r="J18" s="401"/>
      <c r="K18" s="401"/>
      <c r="L18" s="401"/>
      <c r="M18" s="402"/>
      <c r="N18" s="402"/>
      <c r="O18" s="403"/>
      <c r="P18" s="403"/>
      <c r="Q18" s="195"/>
      <c r="R18" s="195"/>
    </row>
    <row r="19" spans="1:18" ht="15" customHeight="1">
      <c r="A19" s="195"/>
      <c r="B19" s="195"/>
      <c r="C19" s="208">
        <v>8</v>
      </c>
      <c r="D19" s="401"/>
      <c r="E19" s="401"/>
      <c r="F19" s="401"/>
      <c r="G19" s="401"/>
      <c r="H19" s="401"/>
      <c r="I19" s="401"/>
      <c r="J19" s="401"/>
      <c r="K19" s="401"/>
      <c r="L19" s="401"/>
      <c r="M19" s="402"/>
      <c r="N19" s="402"/>
      <c r="O19" s="403"/>
      <c r="P19" s="403"/>
      <c r="Q19" s="195"/>
      <c r="R19" s="195"/>
    </row>
    <row r="20" spans="1:18" ht="15" customHeight="1">
      <c r="A20" s="195"/>
      <c r="B20" s="195"/>
      <c r="C20" s="208">
        <v>9</v>
      </c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N20" s="402"/>
      <c r="O20" s="403"/>
      <c r="P20" s="403"/>
      <c r="Q20" s="195"/>
      <c r="R20" s="195"/>
    </row>
    <row r="21" spans="1:18" ht="12.75">
      <c r="A21" s="195"/>
      <c r="B21" s="195"/>
      <c r="C21" s="208">
        <v>10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402"/>
      <c r="O21" s="403"/>
      <c r="P21" s="403"/>
      <c r="Q21" s="195"/>
      <c r="R21" s="195"/>
    </row>
    <row r="22" spans="1:18" ht="12.75">
      <c r="A22" s="195"/>
      <c r="B22" s="195"/>
      <c r="C22" s="208" t="s">
        <v>64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402"/>
      <c r="O22" s="403"/>
      <c r="P22" s="403"/>
      <c r="Q22" s="195"/>
      <c r="R22" s="195"/>
    </row>
    <row r="23" spans="1:18" ht="12.75">
      <c r="A23" s="195"/>
      <c r="B23" s="195"/>
      <c r="C23" s="209" t="s">
        <v>64</v>
      </c>
      <c r="D23" s="378"/>
      <c r="E23" s="378"/>
      <c r="F23" s="378"/>
      <c r="G23" s="378"/>
      <c r="H23" s="378"/>
      <c r="I23" s="378"/>
      <c r="J23" s="378"/>
      <c r="K23" s="378"/>
      <c r="L23" s="378"/>
      <c r="M23" s="404"/>
      <c r="N23" s="404"/>
      <c r="O23" s="405"/>
      <c r="P23" s="405"/>
      <c r="Q23" s="195"/>
      <c r="R23" s="195"/>
    </row>
    <row r="24" spans="1:18" ht="12.75">
      <c r="A24" s="195"/>
      <c r="B24" s="195"/>
      <c r="C24" s="195"/>
      <c r="D24" s="195"/>
      <c r="E24" s="195"/>
      <c r="F24" s="195"/>
      <c r="G24" s="195"/>
      <c r="H24" s="397" t="s">
        <v>120</v>
      </c>
      <c r="I24" s="397"/>
      <c r="J24" s="397"/>
      <c r="K24" s="397"/>
      <c r="L24" s="397"/>
      <c r="M24" s="397"/>
      <c r="N24" s="397"/>
      <c r="O24" s="398">
        <f>SUM(O12:P23)</f>
        <v>45.6444</v>
      </c>
      <c r="P24" s="398"/>
      <c r="Q24" s="195"/>
      <c r="R24" s="195"/>
    </row>
    <row r="25" spans="10:16" ht="12.75">
      <c r="J25" s="210">
        <f>Invoerensolo!C1/100</f>
        <v>0.5</v>
      </c>
      <c r="K25" s="399" t="s">
        <v>121</v>
      </c>
      <c r="L25" s="399"/>
      <c r="M25" s="399"/>
      <c r="N25" s="399"/>
      <c r="O25" s="398">
        <f>IF(O24&gt;0,ROUND(O24*J25,4),0)</f>
        <v>22.8222</v>
      </c>
      <c r="P25" s="398"/>
    </row>
    <row r="26" spans="10:16" ht="12.75">
      <c r="J26" s="211">
        <f>Invoerensolo!C3/100</f>
        <v>0</v>
      </c>
      <c r="K26" s="400" t="s">
        <v>122</v>
      </c>
      <c r="L26" s="400"/>
      <c r="M26" s="400"/>
      <c r="N26" s="400"/>
      <c r="O26" s="398">
        <f>ROUND(VLOOKUP($O$2,Invoerensolo!$A$4:$CZ$33,15,FALSE)*J26,4)</f>
        <v>0</v>
      </c>
      <c r="P26" s="398"/>
    </row>
    <row r="27" spans="1:18" ht="39.75" customHeight="1">
      <c r="A27" s="392" t="s">
        <v>123</v>
      </c>
      <c r="B27" s="392"/>
      <c r="C27" s="392"/>
      <c r="D27" s="212" t="s">
        <v>81</v>
      </c>
      <c r="E27" s="213" t="s">
        <v>124</v>
      </c>
      <c r="F27" s="213" t="s">
        <v>125</v>
      </c>
      <c r="G27" s="213" t="s">
        <v>126</v>
      </c>
      <c r="H27" s="213" t="s">
        <v>127</v>
      </c>
      <c r="I27" s="213" t="s">
        <v>128</v>
      </c>
      <c r="J27" s="214" t="s">
        <v>129</v>
      </c>
      <c r="K27" s="393" t="s">
        <v>130</v>
      </c>
      <c r="L27" s="393"/>
      <c r="M27" s="394" t="s">
        <v>131</v>
      </c>
      <c r="N27" s="394"/>
      <c r="O27" s="215" t="s">
        <v>64</v>
      </c>
      <c r="P27" s="215" t="s">
        <v>64</v>
      </c>
      <c r="Q27" s="195"/>
      <c r="R27" s="195"/>
    </row>
    <row r="28" spans="1:18" s="219" customFormat="1" ht="34.5" customHeight="1">
      <c r="A28" s="395" t="s">
        <v>132</v>
      </c>
      <c r="B28" s="395"/>
      <c r="C28" s="395"/>
      <c r="D28" s="216">
        <v>0.3</v>
      </c>
      <c r="E28" s="217">
        <f>VLOOKUP($O$2,Invoerensolo!$A$4:$CZ$33,24,FALSE)</f>
        <v>4.8</v>
      </c>
      <c r="F28" s="217">
        <f>VLOOKUP($O$2,Invoerensolo!$A$4:$CZ$33,25,FALSE)</f>
        <v>4.9</v>
      </c>
      <c r="G28" s="217">
        <f>VLOOKUP($O$2,Invoerensolo!$A$4:$CZ$33,26,FALSE)</f>
        <v>4.7</v>
      </c>
      <c r="H28" s="217">
        <f>VLOOKUP($O$2,Invoerensolo!$A$4:$CZ$33,27,FALSE)</f>
        <v>5</v>
      </c>
      <c r="I28" s="217">
        <f>VLOOKUP($O$2,Invoerensolo!$A$4:$CZ$33,28,FALSE)</f>
        <v>5.1</v>
      </c>
      <c r="J28" s="214">
        <f>VLOOKUP($O$2,Invoerensolo!$A$4:$CZ$33,29,FALSE)</f>
        <v>14.7</v>
      </c>
      <c r="K28" s="389">
        <f>J28/3</f>
        <v>4.8999999999999995</v>
      </c>
      <c r="L28" s="389"/>
      <c r="M28" s="396">
        <v>3</v>
      </c>
      <c r="N28" s="396"/>
      <c r="O28" s="387">
        <f>ROUND(K28*10*D28,4)</f>
        <v>14.7</v>
      </c>
      <c r="P28" s="387"/>
      <c r="Q28" s="218"/>
      <c r="R28" s="218"/>
    </row>
    <row r="29" spans="1:18" ht="34.5" customHeight="1">
      <c r="A29" s="388" t="s">
        <v>133</v>
      </c>
      <c r="B29" s="388"/>
      <c r="C29" s="388"/>
      <c r="D29" s="220">
        <v>0.4</v>
      </c>
      <c r="E29" s="217">
        <f>VLOOKUP($O$2,Invoerensolo!$A$4:$CZ$33,37,FALSE)</f>
        <v>5.6</v>
      </c>
      <c r="F29" s="221">
        <f>VLOOKUP($O$2,Invoerensolo!$A$4:$CZ$33,38,FALSE)</f>
        <v>4.9</v>
      </c>
      <c r="G29" s="217">
        <f>VLOOKUP($O$2,Invoerensolo!$A$4:$CZ$33,39,FALSE)</f>
        <v>5.3</v>
      </c>
      <c r="H29" s="221">
        <f>VLOOKUP($O$2,Invoerensolo!$A$4:$CZ$33,40,FALSE)</f>
        <v>5</v>
      </c>
      <c r="I29" s="217">
        <f>VLOOKUP($O$2,Invoerensolo!$A$4:$CZ$33,41,FALSE)</f>
        <v>5.3</v>
      </c>
      <c r="J29" s="213">
        <f>VLOOKUP($O$2,Invoerensolo!$A$4:$CZ$33,42,FALSE)</f>
        <v>15.6</v>
      </c>
      <c r="K29" s="389">
        <f>J29/3</f>
        <v>5.2</v>
      </c>
      <c r="L29" s="389"/>
      <c r="M29" s="390">
        <v>4</v>
      </c>
      <c r="N29" s="390"/>
      <c r="O29" s="387">
        <f>ROUND(K29*10*D29,4)</f>
        <v>20.8</v>
      </c>
      <c r="P29" s="387"/>
      <c r="Q29" s="195"/>
      <c r="R29" s="195"/>
    </row>
    <row r="30" spans="1:18" ht="34.5" customHeight="1">
      <c r="A30" s="391" t="s">
        <v>7</v>
      </c>
      <c r="B30" s="391"/>
      <c r="C30" s="391"/>
      <c r="D30" s="220">
        <v>0.3</v>
      </c>
      <c r="E30" s="217">
        <f>VLOOKUP($O$2,Invoerensolo!$A$4:$CZ$33,50,FALSE)</f>
        <v>5</v>
      </c>
      <c r="F30" s="221">
        <f>VLOOKUP($O$2,Invoerensolo!$A$4:$CZ$33,51,FALSE)</f>
        <v>5</v>
      </c>
      <c r="G30" s="217">
        <f>VLOOKUP($O$2,Invoerensolo!$A$4:$CZ$33,52,FALSE)</f>
        <v>4.3</v>
      </c>
      <c r="H30" s="221">
        <f>VLOOKUP($O$2,Invoerensolo!$A$4:$CZ$33,53,FALSE)</f>
        <v>5.2</v>
      </c>
      <c r="I30" s="217">
        <f>VLOOKUP($O$2,Invoerensolo!$A$4:$CZ$33,54,FALSE)</f>
        <v>5.1</v>
      </c>
      <c r="J30" s="213">
        <f>VLOOKUP($O$2,Invoerensolo!$A$4:$CZ$33,55,FALSE)</f>
        <v>15.100000000000001</v>
      </c>
      <c r="K30" s="389">
        <f>J30/3</f>
        <v>5.033333333333334</v>
      </c>
      <c r="L30" s="389"/>
      <c r="M30" s="390">
        <v>3</v>
      </c>
      <c r="N30" s="390"/>
      <c r="O30" s="387">
        <f>ROUND(K30*10*D30,4)</f>
        <v>15.1</v>
      </c>
      <c r="P30" s="387"/>
      <c r="Q30" s="195"/>
      <c r="R30" s="195"/>
    </row>
    <row r="31" spans="1:18" ht="12" customHeight="1">
      <c r="A31" s="382" t="s">
        <v>64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3" t="s">
        <v>17</v>
      </c>
      <c r="N31" s="383"/>
      <c r="O31" s="384">
        <f>SUM(O28:P30)</f>
        <v>50.6</v>
      </c>
      <c r="P31" s="384"/>
      <c r="Q31" s="222"/>
      <c r="R31" s="223"/>
    </row>
    <row r="32" spans="1:18" ht="12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3"/>
      <c r="N32" s="383"/>
      <c r="O32" s="384"/>
      <c r="P32" s="384"/>
      <c r="Q32" s="222"/>
      <c r="R32" s="223"/>
    </row>
    <row r="33" spans="1:18" ht="15">
      <c r="A33" s="224"/>
      <c r="B33" s="224"/>
      <c r="C33" s="225"/>
      <c r="D33" s="225"/>
      <c r="E33" s="225"/>
      <c r="F33" s="225"/>
      <c r="G33" s="225"/>
      <c r="H33" s="225"/>
      <c r="I33" s="225"/>
      <c r="J33" s="215"/>
      <c r="K33" s="215"/>
      <c r="L33" s="226"/>
      <c r="M33" s="227"/>
      <c r="N33" s="227"/>
      <c r="O33" s="215"/>
      <c r="P33" s="215"/>
      <c r="Q33" s="222"/>
      <c r="R33" s="223"/>
    </row>
    <row r="34" spans="1:18" ht="12.75">
      <c r="A34" s="228" t="s">
        <v>134</v>
      </c>
      <c r="B34" s="229"/>
      <c r="C34" s="229"/>
      <c r="D34" s="229"/>
      <c r="E34" s="230"/>
      <c r="F34" s="231" t="s">
        <v>135</v>
      </c>
      <c r="G34" s="232"/>
      <c r="H34" s="232"/>
      <c r="I34" s="233"/>
      <c r="J34" s="234">
        <v>4</v>
      </c>
      <c r="K34" s="234">
        <v>5</v>
      </c>
      <c r="L34" s="235">
        <v>6</v>
      </c>
      <c r="M34" s="234">
        <v>7</v>
      </c>
      <c r="N34" s="236">
        <v>8</v>
      </c>
      <c r="O34" s="237"/>
      <c r="P34" s="238"/>
      <c r="Q34" s="194"/>
      <c r="R34" s="194"/>
    </row>
    <row r="35" spans="1:18" ht="12.75">
      <c r="A35" s="194"/>
      <c r="B35" s="194"/>
      <c r="C35" s="194"/>
      <c r="D35" s="194"/>
      <c r="E35" s="194"/>
      <c r="F35" s="239" t="s">
        <v>136</v>
      </c>
      <c r="G35" s="240"/>
      <c r="H35" s="240"/>
      <c r="I35" s="240"/>
      <c r="J35" s="241">
        <v>-2</v>
      </c>
      <c r="K35" s="241">
        <v>-1.5</v>
      </c>
      <c r="L35" s="241">
        <v>-1</v>
      </c>
      <c r="M35" s="241">
        <v>-0.5</v>
      </c>
      <c r="N35" s="242">
        <v>0</v>
      </c>
      <c r="O35" s="385"/>
      <c r="P35" s="385"/>
      <c r="Q35" s="194"/>
      <c r="R35" s="194"/>
    </row>
    <row r="36" spans="1:18" ht="15" customHeight="1">
      <c r="A36" s="386" t="s">
        <v>137</v>
      </c>
      <c r="B36" s="374" t="s">
        <v>138</v>
      </c>
      <c r="C36" s="374" t="s">
        <v>139</v>
      </c>
      <c r="D36" s="374"/>
      <c r="E36" s="374" t="s">
        <v>140</v>
      </c>
      <c r="F36" s="374"/>
      <c r="G36" s="374" t="s">
        <v>141</v>
      </c>
      <c r="H36" s="374"/>
      <c r="I36" s="374" t="s">
        <v>142</v>
      </c>
      <c r="J36" s="374"/>
      <c r="K36" s="374" t="s">
        <v>143</v>
      </c>
      <c r="L36" s="374"/>
      <c r="M36" s="375" t="s">
        <v>144</v>
      </c>
      <c r="N36" s="375"/>
      <c r="O36" s="376"/>
      <c r="P36" s="376"/>
      <c r="Q36" s="194"/>
      <c r="R36" s="194"/>
    </row>
    <row r="37" spans="1:18" ht="15" customHeight="1">
      <c r="A37" s="386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5"/>
      <c r="N37" s="375"/>
      <c r="O37" s="376"/>
      <c r="P37" s="376"/>
      <c r="Q37" s="194"/>
      <c r="R37" s="194"/>
    </row>
    <row r="38" spans="1:18" ht="12.75">
      <c r="A38" s="243"/>
      <c r="B38" s="244"/>
      <c r="C38" s="377"/>
      <c r="D38" s="377"/>
      <c r="E38" s="378"/>
      <c r="F38" s="378"/>
      <c r="G38" s="379" t="s">
        <v>145</v>
      </c>
      <c r="H38" s="379"/>
      <c r="I38" s="379" t="s">
        <v>146</v>
      </c>
      <c r="J38" s="379"/>
      <c r="K38" s="379" t="s">
        <v>146</v>
      </c>
      <c r="L38" s="379"/>
      <c r="M38" s="380" t="s">
        <v>146</v>
      </c>
      <c r="N38" s="380"/>
      <c r="O38" s="381">
        <f>VLOOKUP($O$2,Invoerensolo!$A$4:$CZ$33,59,FALSE)*-1</f>
        <v>0</v>
      </c>
      <c r="P38" s="381">
        <f>VLOOKUP($O$2,Invoerenploeg!$A$4:$EA$33,48,FALSE)</f>
        <v>14.100000000000001</v>
      </c>
      <c r="Q38" s="215" t="s">
        <v>64</v>
      </c>
      <c r="R38" s="215"/>
    </row>
    <row r="39" spans="1:16" ht="17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245" t="s">
        <v>147</v>
      </c>
      <c r="O39" s="372">
        <f>O31+O35+O38</f>
        <v>50.6</v>
      </c>
      <c r="P39" s="372"/>
    </row>
    <row r="40" spans="1:16" ht="17.25" customHeight="1">
      <c r="A40" s="194" t="s">
        <v>148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45" t="s">
        <v>149</v>
      </c>
      <c r="O40" s="372">
        <f>O39+O26+O25</f>
        <v>73.4222</v>
      </c>
      <c r="P40" s="372"/>
    </row>
    <row r="41" spans="1:16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45" t="s">
        <v>150</v>
      </c>
      <c r="O41" s="373"/>
      <c r="P41" s="373"/>
    </row>
    <row r="42" ht="12">
      <c r="A42" s="246" t="s">
        <v>151</v>
      </c>
    </row>
  </sheetData>
  <sheetProtection password="EC4E" sheet="1" objects="1" scenarios="1"/>
  <mergeCells count="125">
    <mergeCell ref="P1:Q1"/>
    <mergeCell ref="M2:N2"/>
    <mergeCell ref="O2:P2"/>
    <mergeCell ref="C3:L3"/>
    <mergeCell ref="M3:N3"/>
    <mergeCell ref="O3:P3"/>
    <mergeCell ref="A4:B4"/>
    <mergeCell ref="C4:L4"/>
    <mergeCell ref="M4:N4"/>
    <mergeCell ref="O4:P4"/>
    <mergeCell ref="C5:L5"/>
    <mergeCell ref="M5:N5"/>
    <mergeCell ref="O5:P5"/>
    <mergeCell ref="A6:B6"/>
    <mergeCell ref="C6:L6"/>
    <mergeCell ref="M6:N6"/>
    <mergeCell ref="O6:P6"/>
    <mergeCell ref="K7:L7"/>
    <mergeCell ref="M7:N7"/>
    <mergeCell ref="O7:P7"/>
    <mergeCell ref="A8:B8"/>
    <mergeCell ref="M8:N8"/>
    <mergeCell ref="O8:P8"/>
    <mergeCell ref="A9:B9"/>
    <mergeCell ref="M9:N9"/>
    <mergeCell ref="O9:P9"/>
    <mergeCell ref="C10:J10"/>
    <mergeCell ref="M10:N10"/>
    <mergeCell ref="O10:P10"/>
    <mergeCell ref="D11:J11"/>
    <mergeCell ref="K11:L11"/>
    <mergeCell ref="M11:N11"/>
    <mergeCell ref="O11:P11"/>
    <mergeCell ref="D12:J12"/>
    <mergeCell ref="K12:L12"/>
    <mergeCell ref="M12:N12"/>
    <mergeCell ref="O12:P12"/>
    <mergeCell ref="D13:J13"/>
    <mergeCell ref="K13:L13"/>
    <mergeCell ref="M13:N13"/>
    <mergeCell ref="O13:P13"/>
    <mergeCell ref="D14:J14"/>
    <mergeCell ref="K14:L14"/>
    <mergeCell ref="M14:N14"/>
    <mergeCell ref="O14:P14"/>
    <mergeCell ref="D15:J15"/>
    <mergeCell ref="K15:L15"/>
    <mergeCell ref="M15:N15"/>
    <mergeCell ref="O15:P15"/>
    <mergeCell ref="D16:J16"/>
    <mergeCell ref="K16:L16"/>
    <mergeCell ref="M16:N16"/>
    <mergeCell ref="O16:P16"/>
    <mergeCell ref="D17:J17"/>
    <mergeCell ref="K17:L17"/>
    <mergeCell ref="M17:N17"/>
    <mergeCell ref="O17:P17"/>
    <mergeCell ref="D18:J18"/>
    <mergeCell ref="K18:L18"/>
    <mergeCell ref="M18:N18"/>
    <mergeCell ref="O18:P18"/>
    <mergeCell ref="D19:J19"/>
    <mergeCell ref="K19:L19"/>
    <mergeCell ref="M19:N19"/>
    <mergeCell ref="O19:P19"/>
    <mergeCell ref="D20:J20"/>
    <mergeCell ref="K20:L20"/>
    <mergeCell ref="M20:N20"/>
    <mergeCell ref="O20:P20"/>
    <mergeCell ref="D21:J21"/>
    <mergeCell ref="K21:L21"/>
    <mergeCell ref="M21:N21"/>
    <mergeCell ref="O21:P21"/>
    <mergeCell ref="D22:J22"/>
    <mergeCell ref="K22:L22"/>
    <mergeCell ref="M22:N22"/>
    <mergeCell ref="O22:P22"/>
    <mergeCell ref="D23:J23"/>
    <mergeCell ref="K23:L23"/>
    <mergeCell ref="M23:N23"/>
    <mergeCell ref="O23:P23"/>
    <mergeCell ref="H24:N24"/>
    <mergeCell ref="O24:P24"/>
    <mergeCell ref="K25:N25"/>
    <mergeCell ref="O25:P25"/>
    <mergeCell ref="K26:N26"/>
    <mergeCell ref="O26:P26"/>
    <mergeCell ref="A27:C27"/>
    <mergeCell ref="K27:L27"/>
    <mergeCell ref="M27:N27"/>
    <mergeCell ref="A28:C28"/>
    <mergeCell ref="K28:L28"/>
    <mergeCell ref="M28:N28"/>
    <mergeCell ref="O28:P28"/>
    <mergeCell ref="A29:C29"/>
    <mergeCell ref="K29:L29"/>
    <mergeCell ref="M29:N29"/>
    <mergeCell ref="O29:P29"/>
    <mergeCell ref="A30:C30"/>
    <mergeCell ref="K30:L30"/>
    <mergeCell ref="M30:N30"/>
    <mergeCell ref="O30:P30"/>
    <mergeCell ref="A31:L32"/>
    <mergeCell ref="M31:N32"/>
    <mergeCell ref="O31:P32"/>
    <mergeCell ref="O35:P35"/>
    <mergeCell ref="A36:A37"/>
    <mergeCell ref="B36:B37"/>
    <mergeCell ref="C36:D37"/>
    <mergeCell ref="E36:F37"/>
    <mergeCell ref="G36:H37"/>
    <mergeCell ref="I36:J37"/>
    <mergeCell ref="C38:D38"/>
    <mergeCell ref="E38:F38"/>
    <mergeCell ref="G38:H38"/>
    <mergeCell ref="I38:J38"/>
    <mergeCell ref="K38:L38"/>
    <mergeCell ref="M38:N38"/>
    <mergeCell ref="O39:P39"/>
    <mergeCell ref="O40:P40"/>
    <mergeCell ref="O41:P41"/>
    <mergeCell ref="K36:L37"/>
    <mergeCell ref="M36:N37"/>
    <mergeCell ref="O36:P37"/>
    <mergeCell ref="O38:P38"/>
  </mergeCells>
  <conditionalFormatting sqref="E28:I28">
    <cfRule type="expression" priority="1" dxfId="16" stopIfTrue="1">
      <formula>"max(r28k5:r28k9)"</formula>
    </cfRule>
  </conditionalFormatting>
  <conditionalFormatting sqref="I29">
    <cfRule type="expression" priority="2" dxfId="16" stopIfTrue="1">
      <formula>"max(r28k5:r28k9)"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IV34"/>
  <sheetViews>
    <sheetView showZeros="0" view="pageBreakPreview" zoomScaleSheetLayoutView="100" zoomScalePageLayoutView="0" workbookViewId="0" topLeftCell="A1">
      <selection activeCell="AM20" sqref="AM20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8.375" style="0" customWidth="1"/>
    <col min="4" max="6" width="21.00390625" style="0" customWidth="1"/>
    <col min="7" max="7" width="32.875" style="0" customWidth="1"/>
    <col min="8" max="8" width="11.00390625" style="0" customWidth="1"/>
    <col min="9" max="9" width="6.25390625" style="0" customWidth="1"/>
    <col min="10" max="10" width="32.875" style="0" customWidth="1"/>
    <col min="11" max="11" width="9.875" style="0" customWidth="1"/>
    <col min="12" max="12" width="6.25390625" style="0" customWidth="1"/>
    <col min="13" max="13" width="32.875" style="0" customWidth="1"/>
    <col min="14" max="14" width="9.875" style="0" customWidth="1"/>
    <col min="15" max="15" width="6.25390625" style="0" customWidth="1"/>
    <col min="16" max="16" width="7.25390625" style="0" customWidth="1"/>
    <col min="18" max="18" width="6.25390625" style="0" customWidth="1"/>
    <col min="19" max="19" width="9.25390625" style="0" customWidth="1"/>
    <col min="20" max="20" width="7.125" style="0" customWidth="1"/>
    <col min="21" max="21" width="9.25390625" style="0" customWidth="1"/>
    <col min="22" max="22" width="7.125" style="0" customWidth="1"/>
    <col min="23" max="28" width="4.125" style="1" customWidth="1"/>
    <col min="29" max="32" width="4.375" style="1" customWidth="1"/>
    <col min="33" max="33" width="7.125" style="1" customWidth="1"/>
    <col min="34" max="34" width="8.125" style="1" customWidth="1"/>
    <col min="35" max="35" width="4.625" style="1" customWidth="1"/>
    <col min="36" max="40" width="4.125" style="1" customWidth="1"/>
    <col min="41" max="41" width="4.125" style="2" customWidth="1"/>
    <col min="42" max="45" width="4.375" style="2" customWidth="1"/>
    <col min="46" max="46" width="7.125" style="2" customWidth="1"/>
    <col min="47" max="47" width="8.125" style="2" customWidth="1"/>
    <col min="48" max="48" width="5.00390625" style="2" customWidth="1"/>
    <col min="49" max="53" width="4.125" style="1" customWidth="1"/>
    <col min="54" max="54" width="4.125" style="2" customWidth="1"/>
    <col min="55" max="58" width="4.375" style="2" customWidth="1"/>
    <col min="59" max="59" width="7.125" style="2" customWidth="1"/>
    <col min="60" max="60" width="8.125" style="2" customWidth="1"/>
    <col min="61" max="61" width="4.625" style="2" customWidth="1"/>
    <col min="62" max="63" width="6.875" style="0" customWidth="1"/>
    <col min="64" max="65" width="9.375" style="0" customWidth="1"/>
    <col min="66" max="66" width="9.75390625" style="0" customWidth="1"/>
    <col min="67" max="67" width="10.375" style="0" customWidth="1"/>
    <col min="68" max="70" width="9.375" style="0" customWidth="1"/>
    <col min="72" max="73" width="7.625" style="0" customWidth="1"/>
    <col min="74" max="74" width="7.875" style="0" customWidth="1"/>
    <col min="77" max="77" width="6.375" style="0" customWidth="1"/>
    <col min="78" max="78" width="7.25390625" style="0" customWidth="1"/>
    <col min="80" max="80" width="5.75390625" style="0" customWidth="1"/>
  </cols>
  <sheetData>
    <row r="1" spans="1:71" ht="12.75">
      <c r="A1" s="3"/>
      <c r="B1" s="3"/>
      <c r="C1" s="4">
        <v>50</v>
      </c>
      <c r="D1" s="5" t="s">
        <v>0</v>
      </c>
      <c r="E1" s="5"/>
      <c r="F1" s="5"/>
      <c r="G1" s="6" t="s">
        <v>1</v>
      </c>
      <c r="H1" s="3">
        <f>COUNTIF(H5:H34,"&gt;0")</f>
        <v>3</v>
      </c>
      <c r="I1" s="3"/>
      <c r="J1" s="3"/>
      <c r="K1" s="3"/>
      <c r="L1" s="3"/>
      <c r="Q1" s="7" t="s">
        <v>2</v>
      </c>
      <c r="S1" s="3"/>
      <c r="T1" s="3"/>
      <c r="U1" s="3"/>
      <c r="V1" s="3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  <c r="AP1" s="9"/>
      <c r="AQ1" s="9"/>
      <c r="AR1" s="9"/>
      <c r="AS1" s="9"/>
      <c r="AT1" s="9"/>
      <c r="AU1" s="9"/>
      <c r="AV1" s="9"/>
      <c r="AW1" s="8"/>
      <c r="AX1" s="8"/>
      <c r="AY1" s="8"/>
      <c r="AZ1" s="8"/>
      <c r="BA1" s="8"/>
      <c r="BB1" s="9"/>
      <c r="BC1" s="9"/>
      <c r="BD1" s="9"/>
      <c r="BE1" s="9"/>
      <c r="BF1" s="9"/>
      <c r="BG1" s="9"/>
      <c r="BH1" s="9"/>
      <c r="BI1" s="9"/>
      <c r="BP1" s="7"/>
      <c r="BQ1" s="7"/>
      <c r="BR1" s="7"/>
      <c r="BS1" s="7"/>
    </row>
    <row r="2" spans="1:74" ht="12.75">
      <c r="A2" s="10"/>
      <c r="B2" s="10"/>
      <c r="C2" s="4">
        <v>50</v>
      </c>
      <c r="D2" s="5" t="s">
        <v>3</v>
      </c>
      <c r="E2" s="5"/>
      <c r="F2" s="5"/>
      <c r="H2" s="3"/>
      <c r="I2" s="3"/>
      <c r="J2" s="3"/>
      <c r="K2" s="3"/>
      <c r="L2" s="3"/>
      <c r="Q2" s="8" t="s">
        <v>4</v>
      </c>
      <c r="S2" s="3"/>
      <c r="T2" s="3"/>
      <c r="U2" s="3"/>
      <c r="V2" s="3"/>
      <c r="W2" s="359" t="s">
        <v>5</v>
      </c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60" t="s">
        <v>6</v>
      </c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1" t="s">
        <v>7</v>
      </c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8"/>
      <c r="BK2" s="8"/>
      <c r="BP2" s="8"/>
      <c r="BQ2" s="8"/>
      <c r="BR2" s="8"/>
      <c r="BS2" s="7"/>
      <c r="BT2" s="11"/>
      <c r="BU2" s="11"/>
      <c r="BV2" s="11"/>
    </row>
    <row r="3" spans="1:74" ht="15.75">
      <c r="A3" s="247" t="s">
        <v>106</v>
      </c>
      <c r="C3" s="4">
        <v>0</v>
      </c>
      <c r="D3" s="5" t="s">
        <v>9</v>
      </c>
      <c r="E3" s="10"/>
      <c r="F3" s="10"/>
      <c r="G3" s="362" t="s">
        <v>10</v>
      </c>
      <c r="H3" s="362"/>
      <c r="I3" s="362"/>
      <c r="J3" s="363" t="s">
        <v>11</v>
      </c>
      <c r="K3" s="363"/>
      <c r="L3" s="363"/>
      <c r="M3" s="362" t="s">
        <v>152</v>
      </c>
      <c r="N3" s="362"/>
      <c r="O3" s="362"/>
      <c r="Q3" s="8" t="s">
        <v>12</v>
      </c>
      <c r="R3" s="3"/>
      <c r="S3" s="3"/>
      <c r="T3" s="3"/>
      <c r="U3" s="3"/>
      <c r="V3" s="13"/>
      <c r="W3" s="364" t="s">
        <v>13</v>
      </c>
      <c r="X3" s="364"/>
      <c r="Y3" s="364"/>
      <c r="Z3" s="364"/>
      <c r="AA3" s="364"/>
      <c r="AB3" s="365" t="s">
        <v>14</v>
      </c>
      <c r="AC3" s="365"/>
      <c r="AD3" s="365"/>
      <c r="AE3" s="365"/>
      <c r="AF3" s="365"/>
      <c r="AG3" s="365"/>
      <c r="AH3" s="14">
        <v>0.3</v>
      </c>
      <c r="AI3" s="15"/>
      <c r="AJ3" s="364" t="s">
        <v>13</v>
      </c>
      <c r="AK3" s="364"/>
      <c r="AL3" s="364"/>
      <c r="AM3" s="364"/>
      <c r="AN3" s="364"/>
      <c r="AO3" s="366" t="s">
        <v>14</v>
      </c>
      <c r="AP3" s="366"/>
      <c r="AQ3" s="366"/>
      <c r="AR3" s="366"/>
      <c r="AS3" s="366"/>
      <c r="AT3" s="366"/>
      <c r="AU3" s="16">
        <v>0.4</v>
      </c>
      <c r="AV3" s="17"/>
      <c r="AW3" s="364" t="s">
        <v>13</v>
      </c>
      <c r="AX3" s="364"/>
      <c r="AY3" s="364"/>
      <c r="AZ3" s="364"/>
      <c r="BA3" s="364"/>
      <c r="BB3" s="18" t="s">
        <v>14</v>
      </c>
      <c r="BC3" s="19"/>
      <c r="BD3" s="19"/>
      <c r="BE3" s="19"/>
      <c r="BF3" s="19"/>
      <c r="BG3" s="19"/>
      <c r="BH3" s="20">
        <v>0.3</v>
      </c>
      <c r="BI3" s="21"/>
      <c r="BJ3" s="358"/>
      <c r="BK3" s="358"/>
      <c r="BL3" s="22"/>
      <c r="BM3" s="22"/>
      <c r="BN3" s="22"/>
      <c r="BO3" s="22"/>
      <c r="BP3" s="8"/>
      <c r="BQ3" s="8"/>
      <c r="BR3" s="8"/>
      <c r="BS3" s="248"/>
      <c r="BT3" s="23"/>
      <c r="BU3" s="23"/>
      <c r="BV3" s="23"/>
    </row>
    <row r="4" spans="1:80" ht="34.5" customHeight="1">
      <c r="A4" s="24" t="s">
        <v>15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22</v>
      </c>
      <c r="I4" s="25" t="s">
        <v>23</v>
      </c>
      <c r="J4" s="24" t="s">
        <v>24</v>
      </c>
      <c r="K4" s="24" t="s">
        <v>25</v>
      </c>
      <c r="L4" s="25" t="s">
        <v>26</v>
      </c>
      <c r="M4" s="24" t="s">
        <v>153</v>
      </c>
      <c r="N4" s="24" t="s">
        <v>154</v>
      </c>
      <c r="O4" s="25" t="s">
        <v>155</v>
      </c>
      <c r="P4" s="25" t="s">
        <v>54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6" t="s">
        <v>33</v>
      </c>
      <c r="X4" s="27" t="s">
        <v>34</v>
      </c>
      <c r="Y4" s="27" t="s">
        <v>35</v>
      </c>
      <c r="Z4" s="27" t="s">
        <v>36</v>
      </c>
      <c r="AA4" s="27" t="s">
        <v>37</v>
      </c>
      <c r="AB4" s="28" t="s">
        <v>33</v>
      </c>
      <c r="AC4" s="29" t="s">
        <v>34</v>
      </c>
      <c r="AD4" s="29" t="s">
        <v>35</v>
      </c>
      <c r="AE4" s="29" t="s">
        <v>36</v>
      </c>
      <c r="AF4" s="29" t="s">
        <v>37</v>
      </c>
      <c r="AG4" s="29" t="s">
        <v>38</v>
      </c>
      <c r="AH4" s="30" t="s">
        <v>39</v>
      </c>
      <c r="AI4" s="31" t="s">
        <v>40</v>
      </c>
      <c r="AJ4" s="26" t="s">
        <v>33</v>
      </c>
      <c r="AK4" s="27" t="s">
        <v>34</v>
      </c>
      <c r="AL4" s="27" t="s">
        <v>35</v>
      </c>
      <c r="AM4" s="27" t="s">
        <v>36</v>
      </c>
      <c r="AN4" s="27" t="s">
        <v>37</v>
      </c>
      <c r="AO4" s="32" t="s">
        <v>33</v>
      </c>
      <c r="AP4" s="33" t="s">
        <v>34</v>
      </c>
      <c r="AQ4" s="33" t="s">
        <v>35</v>
      </c>
      <c r="AR4" s="33" t="s">
        <v>36</v>
      </c>
      <c r="AS4" s="33" t="s">
        <v>37</v>
      </c>
      <c r="AT4" s="33" t="s">
        <v>38</v>
      </c>
      <c r="AU4" s="34" t="s">
        <v>41</v>
      </c>
      <c r="AV4" s="35" t="s">
        <v>42</v>
      </c>
      <c r="AW4" s="26" t="s">
        <v>33</v>
      </c>
      <c r="AX4" s="27" t="s">
        <v>34</v>
      </c>
      <c r="AY4" s="27" t="s">
        <v>35</v>
      </c>
      <c r="AZ4" s="27" t="s">
        <v>36</v>
      </c>
      <c r="BA4" s="27" t="s">
        <v>37</v>
      </c>
      <c r="BB4" s="36" t="s">
        <v>33</v>
      </c>
      <c r="BC4" s="37" t="s">
        <v>34</v>
      </c>
      <c r="BD4" s="37" t="s">
        <v>35</v>
      </c>
      <c r="BE4" s="37" t="s">
        <v>36</v>
      </c>
      <c r="BF4" s="37" t="s">
        <v>37</v>
      </c>
      <c r="BG4" s="37" t="s">
        <v>38</v>
      </c>
      <c r="BH4" s="38" t="s">
        <v>43</v>
      </c>
      <c r="BI4" s="39" t="s">
        <v>44</v>
      </c>
      <c r="BJ4" s="40" t="s">
        <v>45</v>
      </c>
      <c r="BK4" s="41" t="s">
        <v>46</v>
      </c>
      <c r="BL4" s="41" t="s">
        <v>47</v>
      </c>
      <c r="BM4" s="41" t="str">
        <f>CONCATENATE(C3,"% Tech. Uitvoering")</f>
        <v>0% Tech. Uitvoering</v>
      </c>
      <c r="BN4" s="41" t="str">
        <f>CONCATENATE(C2,"% uitvoering")</f>
        <v>50% uitvoering</v>
      </c>
      <c r="BO4" s="41" t="str">
        <f>CONCATENATE(C1,"% Techniek")</f>
        <v>50% Techniek</v>
      </c>
      <c r="BP4" s="41" t="s">
        <v>48</v>
      </c>
      <c r="BQ4" s="40" t="s">
        <v>156</v>
      </c>
      <c r="BR4" s="40" t="s">
        <v>157</v>
      </c>
      <c r="BS4" s="40" t="s">
        <v>158</v>
      </c>
      <c r="BT4" s="42" t="s">
        <v>159</v>
      </c>
      <c r="BU4" s="42" t="s">
        <v>160</v>
      </c>
      <c r="BV4" s="42" t="s">
        <v>161</v>
      </c>
      <c r="BW4" s="43" t="s">
        <v>51</v>
      </c>
      <c r="BX4" s="43" t="s">
        <v>52</v>
      </c>
      <c r="BY4" s="43" t="s">
        <v>53</v>
      </c>
      <c r="BZ4" s="43" t="s">
        <v>54</v>
      </c>
      <c r="CA4" s="43" t="s">
        <v>55</v>
      </c>
      <c r="CB4" s="43" t="s">
        <v>56</v>
      </c>
    </row>
    <row r="5" spans="1:80" ht="12.75">
      <c r="A5" s="8">
        <v>1</v>
      </c>
      <c r="B5" s="24">
        <f aca="true" t="shared" si="0" ref="B5:B34">IF(R5="BM","BM",RANK(BP5,BP$5:BP$34))</f>
        <v>2</v>
      </c>
      <c r="C5" s="44">
        <f aca="true" t="shared" si="1" ref="C5:C34">SUM(BM5:BO5)</f>
        <v>45.3534</v>
      </c>
      <c r="D5" s="45" t="str">
        <f>IF(ISNA(VLOOKUP($H5,UitslagFig!$C$5:$K$251,1,FALSE)),"",VLOOKUP($H5,UitslagFig!$C$5:$K$251,3,FALSE))</f>
        <v>SPIO Venray</v>
      </c>
      <c r="E5" s="45" t="s">
        <v>162</v>
      </c>
      <c r="F5" s="45" t="s">
        <v>60</v>
      </c>
      <c r="G5" s="249" t="str">
        <f>IF(ISNA(VLOOKUP($H5,UitslagFig!$C$5:$K$251,1,FALSE)),"",VLOOKUP($H5,UitslagFig!$C$5:$K$251,2,FALSE))</f>
        <v>Neri Euwes</v>
      </c>
      <c r="H5" s="46">
        <v>200200074</v>
      </c>
      <c r="I5" s="47" t="s">
        <v>2</v>
      </c>
      <c r="J5" s="45" t="str">
        <f>IF(ISNA(VLOOKUP($K5,UitslagFig!$C$5:$K$251,1,FALSE)),"",VLOOKUP($K5,UitslagFig!$C$5:$K$251,2,FALSE))</f>
        <v>Elke Francken</v>
      </c>
      <c r="K5" s="45">
        <v>200201968</v>
      </c>
      <c r="L5" s="47" t="s">
        <v>2</v>
      </c>
      <c r="M5" s="48" t="str">
        <f>IF(ISNA(VLOOKUP($N5,UitslagFig!$C$5:$N$250,1,FALSE)),"",VLOOKUP($N5,UitslagFig!$C$5:$N$250,2,FALSE))</f>
        <v>Vera Andriessen</v>
      </c>
      <c r="N5" s="48">
        <v>200200444</v>
      </c>
      <c r="O5" s="47" t="s">
        <v>163</v>
      </c>
      <c r="P5" s="250">
        <f aca="true" t="shared" si="2" ref="P5:P34">+BZ5</f>
        <v>2</v>
      </c>
      <c r="Q5" s="48" t="str">
        <f>IF(ISNA(VLOOKUP($H5,UitslagFig!$C$5:$K$251,1,FALSE)),"",VLOOKUP($H5,UitslagFig!$C$5:$K$251,5,FALSE))</f>
        <v>Limburg</v>
      </c>
      <c r="R5" s="49"/>
      <c r="S5" s="50">
        <v>0</v>
      </c>
      <c r="T5" s="24">
        <f aca="true" t="shared" si="3" ref="T5:T34">IF(S5&gt;0,RANK(S5,S$5:S$34),"")</f>
      </c>
      <c r="U5" s="51">
        <f aca="true" t="shared" si="4" ref="U5:U34">BL5</f>
        <v>45.7667</v>
      </c>
      <c r="V5" s="24">
        <f aca="true" t="shared" si="5" ref="V5:V34">IF(U5&gt;0,RANK(U5,U$5:U$34),"")</f>
        <v>3</v>
      </c>
      <c r="W5" s="52">
        <v>47</v>
      </c>
      <c r="X5" s="53">
        <v>46</v>
      </c>
      <c r="Y5" s="53">
        <v>41</v>
      </c>
      <c r="Z5" s="53">
        <v>44</v>
      </c>
      <c r="AA5" s="53">
        <v>46</v>
      </c>
      <c r="AB5" s="54">
        <f aca="true" t="shared" si="6" ref="AB5:AB34">+W5/10</f>
        <v>4.7</v>
      </c>
      <c r="AC5" s="55">
        <f aca="true" t="shared" si="7" ref="AC5:AC34">+X5/10</f>
        <v>4.6</v>
      </c>
      <c r="AD5" s="55">
        <f aca="true" t="shared" si="8" ref="AD5:AD34">+Y5/10</f>
        <v>4.1</v>
      </c>
      <c r="AE5" s="55">
        <f aca="true" t="shared" si="9" ref="AE5:AE34">+Z5/10</f>
        <v>4.4</v>
      </c>
      <c r="AF5" s="55">
        <f aca="true" t="shared" si="10" ref="AF5:AF34">+AA5/10</f>
        <v>4.6</v>
      </c>
      <c r="AG5" s="56">
        <f aca="true" t="shared" si="11" ref="AG5:AG34">SUM(AB5:AF5)-MAX(AB5:AF5)-MIN(AB5:AF5)</f>
        <v>13.6</v>
      </c>
      <c r="AH5" s="57">
        <f aca="true" t="shared" si="12" ref="AH5:AH34">ROUND(AG5/3*10*$AH$3,4)</f>
        <v>13.6</v>
      </c>
      <c r="AI5" s="58">
        <f aca="true" t="shared" si="13" ref="AI5:AI34">RANK(AH5,$AH$5:$AH$33)</f>
        <v>3</v>
      </c>
      <c r="AJ5" s="52">
        <v>46</v>
      </c>
      <c r="AK5" s="53">
        <v>49</v>
      </c>
      <c r="AL5" s="53">
        <v>47</v>
      </c>
      <c r="AM5" s="53">
        <v>42</v>
      </c>
      <c r="AN5" s="53">
        <v>44</v>
      </c>
      <c r="AO5" s="59">
        <f aca="true" t="shared" si="14" ref="AO5:AO34">+AJ5/10</f>
        <v>4.6</v>
      </c>
      <c r="AP5" s="60">
        <f aca="true" t="shared" si="15" ref="AP5:AP34">+AK5/10</f>
        <v>4.9</v>
      </c>
      <c r="AQ5" s="60">
        <f aca="true" t="shared" si="16" ref="AQ5:AQ34">+AL5/10</f>
        <v>4.7</v>
      </c>
      <c r="AR5" s="60">
        <f aca="true" t="shared" si="17" ref="AR5:AR34">+AM5/10</f>
        <v>4.2</v>
      </c>
      <c r="AS5" s="60">
        <f aca="true" t="shared" si="18" ref="AS5:AS34">+AN5/10</f>
        <v>4.4</v>
      </c>
      <c r="AT5" s="61">
        <f aca="true" t="shared" si="19" ref="AT5:AT34">SUM(AO5:AS5)-MAX(AO5:AS5)-MIN(AO5:AS5)</f>
        <v>13.7</v>
      </c>
      <c r="AU5" s="62">
        <f aca="true" t="shared" si="20" ref="AU5:AU34">ROUND(AT5/3*10*$AU$3,4)</f>
        <v>18.2667</v>
      </c>
      <c r="AV5" s="63">
        <f aca="true" t="shared" si="21" ref="AV5:AV34">RANK(AU5,$AU$5:$AU$33)</f>
        <v>3</v>
      </c>
      <c r="AW5" s="64">
        <v>48</v>
      </c>
      <c r="AX5" s="65">
        <v>46</v>
      </c>
      <c r="AY5" s="65">
        <v>42</v>
      </c>
      <c r="AZ5" s="65">
        <v>46</v>
      </c>
      <c r="BA5" s="65">
        <v>47</v>
      </c>
      <c r="BB5" s="66">
        <f aca="true" t="shared" si="22" ref="BB5:BB34">+AW5/10</f>
        <v>4.8</v>
      </c>
      <c r="BC5" s="67">
        <f aca="true" t="shared" si="23" ref="BC5:BC34">+AX5/10</f>
        <v>4.6</v>
      </c>
      <c r="BD5" s="67">
        <f aca="true" t="shared" si="24" ref="BD5:BD34">+AY5/10</f>
        <v>4.2</v>
      </c>
      <c r="BE5" s="67">
        <f aca="true" t="shared" si="25" ref="BE5:BE34">+AZ5/10</f>
        <v>4.6</v>
      </c>
      <c r="BF5" s="67">
        <f aca="true" t="shared" si="26" ref="BF5:BF34">+BA5/10</f>
        <v>4.7</v>
      </c>
      <c r="BG5" s="68">
        <f aca="true" t="shared" si="27" ref="BG5:BG34">SUM(BB5:BF5)-MAX(BB5:BF5)-MIN(BB5:BF5)</f>
        <v>13.899999999999995</v>
      </c>
      <c r="BH5" s="69">
        <f aca="true" t="shared" si="28" ref="BH5:BH34">IF(BG5&gt;0,ROUND(BG5/3*10*$BH$3,4),0)</f>
        <v>13.9</v>
      </c>
      <c r="BI5" s="70">
        <f aca="true" t="shared" si="29" ref="BI5:BI34">RANK(BH5,$BH$5:$BH$34)</f>
        <v>2</v>
      </c>
      <c r="BJ5" s="71">
        <v>0</v>
      </c>
      <c r="BK5" s="72">
        <f aca="true" t="shared" si="30" ref="BK5:BK34">BJ5</f>
        <v>0</v>
      </c>
      <c r="BL5" s="73">
        <f aca="true" t="shared" si="31" ref="BL5:BL34">+AH5+AU5+BH5-BK5</f>
        <v>45.7667</v>
      </c>
      <c r="BM5" s="74">
        <f aca="true" t="shared" si="32" ref="BM5:BM34">ROUND((+S5*$C$3)/100,4)</f>
        <v>0</v>
      </c>
      <c r="BN5" s="73">
        <f aca="true" t="shared" si="33" ref="BN5:BN34">ROUND((+BL5*$C$2)/100,4)</f>
        <v>22.8834</v>
      </c>
      <c r="BO5" s="73">
        <f aca="true" t="shared" si="34" ref="BO5:BO34">ROUND((+BX5*$C$1)/100,4)</f>
        <v>22.47</v>
      </c>
      <c r="BP5" s="73">
        <f aca="true" t="shared" si="35" ref="BP5:BP34">IF(R5="BM",0,+BM5+BN5+BO5)</f>
        <v>45.3534</v>
      </c>
      <c r="BQ5" s="75">
        <f>IF(ISNA(VLOOKUP(H5,UitslagFig!$C$5:$K$251,1,FALSE)),"",VLOOKUP(H5,UitslagFig!$C$5:$K$251,9,FALSE))</f>
        <v>45.8977</v>
      </c>
      <c r="BR5" s="75">
        <f>IF(ISNA(VLOOKUP(K5,UitslagFig!$C$5:$K$251,1,FALSE)),"",VLOOKUP(K5,UitslagFig!$C$5:$K$251,9,FALSE))</f>
        <v>43.9821</v>
      </c>
      <c r="BS5" s="75">
        <f>IF(ISNA(VLOOKUP(N5,UitslagFig!$C$5:$K$251,1,FALSE)),"",VLOOKUP(N5,UitslagFig!$C$5:$K$251,9,FALSE))</f>
        <v>47.16</v>
      </c>
      <c r="BT5" s="76">
        <f aca="true" t="shared" si="36" ref="BT5:BT34">IF(I5="X",BQ5,"")</f>
        <v>45.8977</v>
      </c>
      <c r="BU5" s="76">
        <f aca="true" t="shared" si="37" ref="BU5:BU34">IF(L5="X",BR5,"")</f>
        <v>43.9821</v>
      </c>
      <c r="BV5" s="76">
        <f aca="true" t="shared" si="38" ref="BV5:BV34">IF(O5="X",BS5,"")</f>
      </c>
      <c r="BW5" s="76">
        <f aca="true" t="shared" si="39" ref="BW5:BW34">SUMIF(BT5:BV5,"&gt;0")</f>
        <v>89.8798</v>
      </c>
      <c r="BX5" s="76">
        <f aca="true" t="shared" si="40" ref="BX5:BX34">IF(BZ5&gt;0,ROUND(AVERAGE(BT5:BV5),4),0)</f>
        <v>44.9399</v>
      </c>
      <c r="BY5" s="77">
        <f aca="true" t="shared" si="41" ref="BY5:BY34">IF(BX5&gt;0,RANK(BX5,$BX$5:$BX$34),"")</f>
        <v>1</v>
      </c>
      <c r="BZ5" s="77">
        <f aca="true" t="shared" si="42" ref="BZ5:BZ34">COUNTIF(BT5:BV5,"&gt;=0")</f>
        <v>2</v>
      </c>
      <c r="CA5" s="78">
        <f aca="true" t="shared" si="43" ref="CA5:CA34">IF(COUNT(BQ5:BS5)&gt;2,ROUND((SUM(BQ5:BS5)-MIN(BQ5:BS5))/2,4),ROUND(SUM(BQ5:BS5)/2,4))</f>
        <v>46.5289</v>
      </c>
      <c r="CB5" s="79">
        <f aca="true" t="shared" si="44" ref="CB5:CB34">IF(CA5&gt;0,RANK(CA5,$CA$5:$CA$34),"")</f>
        <v>1</v>
      </c>
    </row>
    <row r="6" spans="1:256" ht="12.75">
      <c r="A6" s="8">
        <v>2</v>
      </c>
      <c r="B6" s="24">
        <f t="shared" si="0"/>
        <v>1</v>
      </c>
      <c r="C6" s="44">
        <f t="shared" si="1"/>
        <v>45.3712</v>
      </c>
      <c r="D6" s="45" t="str">
        <f>IF(ISNA(VLOOKUP($H6,UitslagFig!$C$5:$K$251,1,FALSE)),"",VLOOKUP($H6,UitslagFig!$C$5:$K$251,3,FALSE))</f>
        <v>Hellas-Glana</v>
      </c>
      <c r="E6" s="45" t="s">
        <v>164</v>
      </c>
      <c r="F6" s="45" t="s">
        <v>165</v>
      </c>
      <c r="G6" s="249" t="str">
        <f>IF(ISNA(VLOOKUP($H6,UitslagFig!$C$5:$K$251,1,FALSE)),"",VLOOKUP($H6,UitslagFig!$C$5:$K$251,2,FALSE))</f>
        <v>Debbie Geilen</v>
      </c>
      <c r="H6" s="45">
        <v>200400742</v>
      </c>
      <c r="I6" s="47" t="s">
        <v>2</v>
      </c>
      <c r="J6" s="45" t="str">
        <f>IF(ISNA(VLOOKUP($K6,UitslagFig!$C$5:$K$251,1,FALSE)),"",VLOOKUP($K6,UitslagFig!$C$5:$K$251,2,FALSE))</f>
        <v>Sarah Molensky</v>
      </c>
      <c r="K6" s="45">
        <v>200301680</v>
      </c>
      <c r="L6" s="47" t="s">
        <v>2</v>
      </c>
      <c r="M6" s="45">
        <f>IF(ISNA(VLOOKUP($N6,UitslagFig!$C$5:$N$250,1,FALSE)),"",VLOOKUP($N6,UitslagFig!$C$5:$N$250,2,FALSE))</f>
        <v>0</v>
      </c>
      <c r="N6" s="48"/>
      <c r="O6" s="47"/>
      <c r="P6" s="250">
        <f t="shared" si="2"/>
        <v>2</v>
      </c>
      <c r="Q6" s="48" t="str">
        <f>IF(ISNA(VLOOKUP($H6,UitslagFig!$C$5:$K$251,1,FALSE)),"",VLOOKUP($H6,UitslagFig!$C$5:$K$251,5,FALSE))</f>
        <v>Limburg</v>
      </c>
      <c r="R6" s="49"/>
      <c r="S6" s="50">
        <v>0</v>
      </c>
      <c r="T6" s="24">
        <f t="shared" si="3"/>
      </c>
      <c r="U6" s="51">
        <f t="shared" si="4"/>
        <v>45.8333</v>
      </c>
      <c r="V6" s="24">
        <f t="shared" si="5"/>
        <v>2</v>
      </c>
      <c r="W6" s="52">
        <v>45</v>
      </c>
      <c r="X6" s="53">
        <v>48</v>
      </c>
      <c r="Y6" s="53">
        <v>45</v>
      </c>
      <c r="Z6" s="53">
        <v>42</v>
      </c>
      <c r="AA6" s="53">
        <v>49</v>
      </c>
      <c r="AB6" s="54">
        <f t="shared" si="6"/>
        <v>4.5</v>
      </c>
      <c r="AC6" s="55">
        <f t="shared" si="7"/>
        <v>4.8</v>
      </c>
      <c r="AD6" s="55">
        <f t="shared" si="8"/>
        <v>4.5</v>
      </c>
      <c r="AE6" s="55">
        <f t="shared" si="9"/>
        <v>4.2</v>
      </c>
      <c r="AF6" s="55">
        <f t="shared" si="10"/>
        <v>4.9</v>
      </c>
      <c r="AG6" s="56">
        <f t="shared" si="11"/>
        <v>13.8</v>
      </c>
      <c r="AH6" s="57">
        <f t="shared" si="12"/>
        <v>13.8</v>
      </c>
      <c r="AI6" s="58">
        <f t="shared" si="13"/>
        <v>2</v>
      </c>
      <c r="AJ6" s="52">
        <v>44</v>
      </c>
      <c r="AK6" s="53">
        <v>52</v>
      </c>
      <c r="AL6" s="53">
        <v>48</v>
      </c>
      <c r="AM6" s="53">
        <v>46</v>
      </c>
      <c r="AN6" s="53">
        <v>45</v>
      </c>
      <c r="AO6" s="59">
        <f t="shared" si="14"/>
        <v>4.4</v>
      </c>
      <c r="AP6" s="60">
        <f t="shared" si="15"/>
        <v>5.2</v>
      </c>
      <c r="AQ6" s="60">
        <f t="shared" si="16"/>
        <v>4.8</v>
      </c>
      <c r="AR6" s="60">
        <f t="shared" si="17"/>
        <v>4.6</v>
      </c>
      <c r="AS6" s="60">
        <f t="shared" si="18"/>
        <v>4.5</v>
      </c>
      <c r="AT6" s="61">
        <f t="shared" si="19"/>
        <v>13.9</v>
      </c>
      <c r="AU6" s="62">
        <f t="shared" si="20"/>
        <v>18.5333</v>
      </c>
      <c r="AV6" s="63">
        <f t="shared" si="21"/>
        <v>2</v>
      </c>
      <c r="AW6" s="64">
        <v>46</v>
      </c>
      <c r="AX6" s="65">
        <v>44</v>
      </c>
      <c r="AY6" s="65">
        <v>43</v>
      </c>
      <c r="AZ6" s="65">
        <v>48</v>
      </c>
      <c r="BA6" s="65">
        <v>45</v>
      </c>
      <c r="BB6" s="66">
        <f t="shared" si="22"/>
        <v>4.6</v>
      </c>
      <c r="BC6" s="67">
        <f t="shared" si="23"/>
        <v>4.4</v>
      </c>
      <c r="BD6" s="67">
        <f t="shared" si="24"/>
        <v>4.3</v>
      </c>
      <c r="BE6" s="67">
        <f t="shared" si="25"/>
        <v>4.8</v>
      </c>
      <c r="BF6" s="67">
        <f t="shared" si="26"/>
        <v>4.5</v>
      </c>
      <c r="BG6" s="68">
        <f t="shared" si="27"/>
        <v>13.5</v>
      </c>
      <c r="BH6" s="69">
        <f t="shared" si="28"/>
        <v>13.5</v>
      </c>
      <c r="BI6" s="70">
        <f t="shared" si="29"/>
        <v>3</v>
      </c>
      <c r="BJ6" s="71">
        <v>0</v>
      </c>
      <c r="BK6" s="72">
        <f t="shared" si="30"/>
        <v>0</v>
      </c>
      <c r="BL6" s="73">
        <f t="shared" si="31"/>
        <v>45.8333</v>
      </c>
      <c r="BM6" s="74">
        <f t="shared" si="32"/>
        <v>0</v>
      </c>
      <c r="BN6" s="73">
        <f t="shared" si="33"/>
        <v>22.9167</v>
      </c>
      <c r="BO6" s="73">
        <f t="shared" si="34"/>
        <v>22.4545</v>
      </c>
      <c r="BP6" s="73">
        <f t="shared" si="35"/>
        <v>45.3712</v>
      </c>
      <c r="BQ6" s="75">
        <f>IF(ISNA(VLOOKUP(H6,UitslagFig!$C$5:$K$251,1,FALSE)),"",VLOOKUP(H6,UitslagFig!$C$5:$K$251,9,FALSE))</f>
        <v>44.3645</v>
      </c>
      <c r="BR6" s="75">
        <f>IF(ISNA(VLOOKUP(K6,UitslagFig!$C$5:$K$251,1,FALSE)),"",VLOOKUP(K6,UitslagFig!$C$5:$K$251,9,FALSE))</f>
        <v>45.4533</v>
      </c>
      <c r="BS6" s="75">
        <f>IF(ISNA(VLOOKUP(N6,UitslagFig!$C$5:$K$251,1,FALSE)),"",VLOOKUP(N6,UitslagFig!$C$5:$K$251,9,FALSE))</f>
        <v>0</v>
      </c>
      <c r="BT6" s="76">
        <f t="shared" si="36"/>
        <v>44.3645</v>
      </c>
      <c r="BU6" s="76">
        <f t="shared" si="37"/>
        <v>45.4533</v>
      </c>
      <c r="BV6" s="76">
        <f t="shared" si="38"/>
      </c>
      <c r="BW6" s="76">
        <f t="shared" si="39"/>
        <v>89.8178</v>
      </c>
      <c r="BX6" s="76">
        <f t="shared" si="40"/>
        <v>44.9089</v>
      </c>
      <c r="BY6" s="77">
        <f t="shared" si="41"/>
        <v>2</v>
      </c>
      <c r="BZ6" s="77">
        <f t="shared" si="42"/>
        <v>2</v>
      </c>
      <c r="CA6" s="78">
        <f t="shared" si="43"/>
        <v>44.9089</v>
      </c>
      <c r="CB6" s="79">
        <f t="shared" si="44"/>
        <v>2</v>
      </c>
      <c r="CC6" s="80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ht="12.75">
      <c r="A7" s="8">
        <v>3</v>
      </c>
      <c r="B7" s="24">
        <f t="shared" si="0"/>
        <v>3</v>
      </c>
      <c r="C7" s="44">
        <f t="shared" si="1"/>
        <v>45.1546</v>
      </c>
      <c r="D7" s="45" t="str">
        <f>IF(ISNA(VLOOKUP($H7,UitslagFig!$C$5:$K$251,1,FALSE)),"",VLOOKUP($H7,UitslagFig!$C$5:$K$251,3,FALSE))</f>
        <v>ZC Eijsden</v>
      </c>
      <c r="E7" s="45" t="s">
        <v>166</v>
      </c>
      <c r="F7" s="45" t="s">
        <v>63</v>
      </c>
      <c r="G7" s="249" t="str">
        <f>IF(ISNA(VLOOKUP($H7,UitslagFig!$C$5:$K$251,1,FALSE)),"",VLOOKUP($H7,UitslagFig!$C$5:$K$251,2,FALSE))</f>
        <v>Myrthe Huysmans</v>
      </c>
      <c r="H7" s="45">
        <v>200201940</v>
      </c>
      <c r="I7" s="47" t="s">
        <v>2</v>
      </c>
      <c r="J7" s="45" t="str">
        <f>IF(ISNA(VLOOKUP($K7,UitslagFig!$C$5:$K$251,1,FALSE)),"",VLOOKUP($K7,UitslagFig!$C$5:$K$251,2,FALSE))</f>
        <v>Jill Mourmans</v>
      </c>
      <c r="K7" s="45">
        <v>200300794</v>
      </c>
      <c r="L7" s="47" t="s">
        <v>2</v>
      </c>
      <c r="M7" s="45">
        <f>IF(ISNA(VLOOKUP($N7,UitslagFig!$C$5:$N$250,1,FALSE)),"",VLOOKUP($N7,UitslagFig!$C$5:$N$250,2,FALSE))</f>
        <v>0</v>
      </c>
      <c r="N7" s="48"/>
      <c r="O7" s="47"/>
      <c r="P7" s="250">
        <f t="shared" si="2"/>
        <v>2</v>
      </c>
      <c r="Q7" s="48" t="str">
        <f>IF(ISNA(VLOOKUP($H7,UitslagFig!$C$5:$K$251,1,FALSE)),"",VLOOKUP($H7,UitslagFig!$C$5:$K$251,5,FALSE))</f>
        <v>Limburg</v>
      </c>
      <c r="R7" s="49"/>
      <c r="S7" s="50">
        <v>0</v>
      </c>
      <c r="T7" s="24">
        <f t="shared" si="3"/>
      </c>
      <c r="U7" s="51">
        <f t="shared" si="4"/>
        <v>47.4667</v>
      </c>
      <c r="V7" s="24">
        <f t="shared" si="5"/>
        <v>1</v>
      </c>
      <c r="W7" s="52">
        <v>44</v>
      </c>
      <c r="X7" s="53">
        <v>49</v>
      </c>
      <c r="Y7" s="53">
        <v>46</v>
      </c>
      <c r="Z7" s="53">
        <v>46</v>
      </c>
      <c r="AA7" s="53">
        <v>47</v>
      </c>
      <c r="AB7" s="54">
        <f t="shared" si="6"/>
        <v>4.4</v>
      </c>
      <c r="AC7" s="55">
        <f t="shared" si="7"/>
        <v>4.9</v>
      </c>
      <c r="AD7" s="55">
        <f t="shared" si="8"/>
        <v>4.6</v>
      </c>
      <c r="AE7" s="55">
        <f t="shared" si="9"/>
        <v>4.6</v>
      </c>
      <c r="AF7" s="55">
        <f t="shared" si="10"/>
        <v>4.7</v>
      </c>
      <c r="AG7" s="56">
        <f t="shared" si="11"/>
        <v>13.899999999999997</v>
      </c>
      <c r="AH7" s="57">
        <f t="shared" si="12"/>
        <v>13.9</v>
      </c>
      <c r="AI7" s="58">
        <f t="shared" si="13"/>
        <v>1</v>
      </c>
      <c r="AJ7" s="52">
        <v>48</v>
      </c>
      <c r="AK7" s="53">
        <v>50</v>
      </c>
      <c r="AL7" s="53">
        <v>50</v>
      </c>
      <c r="AM7" s="53">
        <v>48</v>
      </c>
      <c r="AN7" s="53">
        <v>46</v>
      </c>
      <c r="AO7" s="59">
        <f t="shared" si="14"/>
        <v>4.8</v>
      </c>
      <c r="AP7" s="60">
        <f t="shared" si="15"/>
        <v>5</v>
      </c>
      <c r="AQ7" s="60">
        <f t="shared" si="16"/>
        <v>5</v>
      </c>
      <c r="AR7" s="60">
        <f t="shared" si="17"/>
        <v>4.8</v>
      </c>
      <c r="AS7" s="60">
        <f t="shared" si="18"/>
        <v>4.6</v>
      </c>
      <c r="AT7" s="61">
        <f t="shared" si="19"/>
        <v>14.600000000000003</v>
      </c>
      <c r="AU7" s="62">
        <f t="shared" si="20"/>
        <v>19.4667</v>
      </c>
      <c r="AV7" s="63">
        <f t="shared" si="21"/>
        <v>1</v>
      </c>
      <c r="AW7" s="64">
        <v>50</v>
      </c>
      <c r="AX7" s="65">
        <v>46</v>
      </c>
      <c r="AY7" s="65">
        <v>45</v>
      </c>
      <c r="AZ7" s="65">
        <v>47</v>
      </c>
      <c r="BA7" s="65">
        <v>48</v>
      </c>
      <c r="BB7" s="66">
        <f t="shared" si="22"/>
        <v>5</v>
      </c>
      <c r="BC7" s="67">
        <f t="shared" si="23"/>
        <v>4.6</v>
      </c>
      <c r="BD7" s="67">
        <f t="shared" si="24"/>
        <v>4.5</v>
      </c>
      <c r="BE7" s="67">
        <f t="shared" si="25"/>
        <v>4.7</v>
      </c>
      <c r="BF7" s="67">
        <f t="shared" si="26"/>
        <v>4.8</v>
      </c>
      <c r="BG7" s="68">
        <f t="shared" si="27"/>
        <v>14.100000000000001</v>
      </c>
      <c r="BH7" s="69">
        <f t="shared" si="28"/>
        <v>14.1</v>
      </c>
      <c r="BI7" s="70">
        <f t="shared" si="29"/>
        <v>1</v>
      </c>
      <c r="BJ7" s="71">
        <v>0</v>
      </c>
      <c r="BK7" s="72">
        <f t="shared" si="30"/>
        <v>0</v>
      </c>
      <c r="BL7" s="73">
        <f t="shared" si="31"/>
        <v>47.4667</v>
      </c>
      <c r="BM7" s="74">
        <f t="shared" si="32"/>
        <v>0</v>
      </c>
      <c r="BN7" s="73">
        <f t="shared" si="33"/>
        <v>23.7334</v>
      </c>
      <c r="BO7" s="73">
        <f t="shared" si="34"/>
        <v>21.4212</v>
      </c>
      <c r="BP7" s="73">
        <f t="shared" si="35"/>
        <v>45.1546</v>
      </c>
      <c r="BQ7" s="75">
        <f>IF(ISNA(VLOOKUP(H7,UitslagFig!$C$5:$K$251,1,FALSE)),"",VLOOKUP(H7,UitslagFig!$C$5:$K$251,9,FALSE))</f>
        <v>44.1023</v>
      </c>
      <c r="BR7" s="75">
        <f>IF(ISNA(VLOOKUP(K7,UitslagFig!$C$5:$K$251,1,FALSE)),"",VLOOKUP(K7,UitslagFig!$C$5:$K$251,9,FALSE))</f>
        <v>41.5823</v>
      </c>
      <c r="BS7" s="75">
        <f>IF(ISNA(VLOOKUP(N7,UitslagFig!$C$5:$K$251,1,FALSE)),"",VLOOKUP(N7,UitslagFig!$C$5:$K$251,9,FALSE))</f>
        <v>0</v>
      </c>
      <c r="BT7" s="76">
        <f t="shared" si="36"/>
        <v>44.1023</v>
      </c>
      <c r="BU7" s="76">
        <f t="shared" si="37"/>
        <v>41.5823</v>
      </c>
      <c r="BV7" s="76">
        <f t="shared" si="38"/>
      </c>
      <c r="BW7" s="76">
        <f t="shared" si="39"/>
        <v>85.68459999999999</v>
      </c>
      <c r="BX7" s="76">
        <f t="shared" si="40"/>
        <v>42.8423</v>
      </c>
      <c r="BY7" s="77">
        <f t="shared" si="41"/>
        <v>3</v>
      </c>
      <c r="BZ7" s="77">
        <f t="shared" si="42"/>
        <v>2</v>
      </c>
      <c r="CA7" s="78">
        <f t="shared" si="43"/>
        <v>42.8423</v>
      </c>
      <c r="CB7" s="79">
        <f t="shared" si="44"/>
        <v>3</v>
      </c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80" ht="12.75">
      <c r="A8" s="8">
        <v>4</v>
      </c>
      <c r="B8" s="24">
        <f t="shared" si="0"/>
        <v>4</v>
      </c>
      <c r="C8" s="44">
        <f t="shared" si="1"/>
        <v>0</v>
      </c>
      <c r="D8" s="45">
        <f>IF(ISNA(VLOOKUP($H8,UitslagFig!$C$5:$K$251,1,FALSE)),"",VLOOKUP($H8,UitslagFig!$C$5:$K$251,3,FALSE))</f>
        <v>0</v>
      </c>
      <c r="E8" s="83"/>
      <c r="F8" s="45"/>
      <c r="G8" s="249">
        <f>IF(ISNA(VLOOKUP($H8,UitslagFig!$C$5:$K$251,1,FALSE)),"",VLOOKUP($H8,UitslagFig!$C$5:$K$251,2,FALSE))</f>
        <v>0</v>
      </c>
      <c r="H8" s="45"/>
      <c r="I8" s="47"/>
      <c r="J8" s="45">
        <f>IF(ISNA(VLOOKUP($K8,UitslagFig!$C$5:$K$251,1,FALSE)),"",VLOOKUP($K8,UitslagFig!$C$5:$K$251,2,FALSE))</f>
        <v>0</v>
      </c>
      <c r="K8" s="45"/>
      <c r="L8" s="47"/>
      <c r="M8" s="45">
        <f>IF(ISNA(VLOOKUP($N8,UitslagFig!$C$5:$N$250,1,FALSE)),"",VLOOKUP($N8,UitslagFig!$C$5:$N$250,2,FALSE))</f>
        <v>0</v>
      </c>
      <c r="N8" s="45"/>
      <c r="O8" s="47"/>
      <c r="P8" s="250">
        <f t="shared" si="2"/>
        <v>0</v>
      </c>
      <c r="Q8" s="48">
        <f>IF(ISNA(VLOOKUP($H8,UitslagFig!$C$5:$K$251,1,FALSE)),"",VLOOKUP($H8,UitslagFig!$C$5:$K$251,5,FALSE))</f>
        <v>0</v>
      </c>
      <c r="R8" s="49"/>
      <c r="S8" s="50">
        <v>0</v>
      </c>
      <c r="T8" s="24">
        <f t="shared" si="3"/>
      </c>
      <c r="U8" s="51">
        <f t="shared" si="4"/>
        <v>0</v>
      </c>
      <c r="V8" s="24">
        <f t="shared" si="5"/>
      </c>
      <c r="W8" s="52"/>
      <c r="X8" s="53"/>
      <c r="Y8" s="53"/>
      <c r="Z8" s="53"/>
      <c r="AA8" s="53"/>
      <c r="AB8" s="54">
        <f t="shared" si="6"/>
        <v>0</v>
      </c>
      <c r="AC8" s="55">
        <f t="shared" si="7"/>
        <v>0</v>
      </c>
      <c r="AD8" s="55">
        <f t="shared" si="8"/>
        <v>0</v>
      </c>
      <c r="AE8" s="55">
        <f t="shared" si="9"/>
        <v>0</v>
      </c>
      <c r="AF8" s="55">
        <f t="shared" si="10"/>
        <v>0</v>
      </c>
      <c r="AG8" s="56">
        <f t="shared" si="11"/>
        <v>0</v>
      </c>
      <c r="AH8" s="57">
        <f t="shared" si="12"/>
        <v>0</v>
      </c>
      <c r="AI8" s="58">
        <f t="shared" si="13"/>
        <v>4</v>
      </c>
      <c r="AJ8" s="52"/>
      <c r="AK8" s="53"/>
      <c r="AL8" s="53"/>
      <c r="AM8" s="53"/>
      <c r="AN8" s="53"/>
      <c r="AO8" s="59">
        <f t="shared" si="14"/>
        <v>0</v>
      </c>
      <c r="AP8" s="60">
        <f t="shared" si="15"/>
        <v>0</v>
      </c>
      <c r="AQ8" s="60">
        <f t="shared" si="16"/>
        <v>0</v>
      </c>
      <c r="AR8" s="60">
        <f t="shared" si="17"/>
        <v>0</v>
      </c>
      <c r="AS8" s="60">
        <f t="shared" si="18"/>
        <v>0</v>
      </c>
      <c r="AT8" s="61">
        <f t="shared" si="19"/>
        <v>0</v>
      </c>
      <c r="AU8" s="62">
        <f t="shared" si="20"/>
        <v>0</v>
      </c>
      <c r="AV8" s="63">
        <f t="shared" si="21"/>
        <v>4</v>
      </c>
      <c r="AW8" s="52"/>
      <c r="AX8" s="53"/>
      <c r="AY8" s="53"/>
      <c r="AZ8" s="53"/>
      <c r="BA8" s="53"/>
      <c r="BB8" s="66">
        <f t="shared" si="22"/>
        <v>0</v>
      </c>
      <c r="BC8" s="67">
        <f t="shared" si="23"/>
        <v>0</v>
      </c>
      <c r="BD8" s="67">
        <f t="shared" si="24"/>
        <v>0</v>
      </c>
      <c r="BE8" s="67">
        <f t="shared" si="25"/>
        <v>0</v>
      </c>
      <c r="BF8" s="67">
        <f t="shared" si="26"/>
        <v>0</v>
      </c>
      <c r="BG8" s="68">
        <f t="shared" si="27"/>
        <v>0</v>
      </c>
      <c r="BH8" s="69">
        <f t="shared" si="28"/>
        <v>0</v>
      </c>
      <c r="BI8" s="70">
        <f t="shared" si="29"/>
        <v>4</v>
      </c>
      <c r="BJ8" s="71">
        <v>0</v>
      </c>
      <c r="BK8" s="72">
        <f t="shared" si="30"/>
        <v>0</v>
      </c>
      <c r="BL8" s="73">
        <f t="shared" si="31"/>
        <v>0</v>
      </c>
      <c r="BM8" s="74">
        <f t="shared" si="32"/>
        <v>0</v>
      </c>
      <c r="BN8" s="73">
        <f t="shared" si="33"/>
        <v>0</v>
      </c>
      <c r="BO8" s="73">
        <f t="shared" si="34"/>
        <v>0</v>
      </c>
      <c r="BP8" s="73">
        <f t="shared" si="35"/>
        <v>0</v>
      </c>
      <c r="BQ8" s="75">
        <f>IF(ISNA(VLOOKUP(H8,UitslagFig!$C$5:$K$251,1,FALSE)),"",VLOOKUP(H8,UitslagFig!$C$5:$K$251,9,FALSE))</f>
        <v>0</v>
      </c>
      <c r="BR8" s="75">
        <f>IF(ISNA(VLOOKUP(K8,UitslagFig!$C$5:$K$251,1,FALSE)),"",VLOOKUP(K8,UitslagFig!$C$5:$K$251,9,FALSE))</f>
        <v>0</v>
      </c>
      <c r="BS8" s="75">
        <f>IF(ISNA(VLOOKUP(N8,UitslagFig!$C$5:$K$251,1,FALSE)),"",VLOOKUP(N8,UitslagFig!$C$5:$K$251,9,FALSE))</f>
        <v>0</v>
      </c>
      <c r="BT8" s="76">
        <f t="shared" si="36"/>
      </c>
      <c r="BU8" s="76">
        <f t="shared" si="37"/>
      </c>
      <c r="BV8" s="76">
        <f t="shared" si="38"/>
      </c>
      <c r="BW8" s="76">
        <f t="shared" si="39"/>
        <v>0</v>
      </c>
      <c r="BX8" s="76">
        <f t="shared" si="40"/>
        <v>0</v>
      </c>
      <c r="BY8" s="77">
        <f t="shared" si="41"/>
      </c>
      <c r="BZ8" s="77">
        <f t="shared" si="42"/>
        <v>0</v>
      </c>
      <c r="CA8" s="78">
        <f t="shared" si="43"/>
        <v>0</v>
      </c>
      <c r="CB8" s="79">
        <f t="shared" si="44"/>
      </c>
    </row>
    <row r="9" spans="1:80" ht="12.75">
      <c r="A9" s="8">
        <v>5</v>
      </c>
      <c r="B9" s="24">
        <f t="shared" si="0"/>
        <v>4</v>
      </c>
      <c r="C9" s="44">
        <f t="shared" si="1"/>
        <v>0</v>
      </c>
      <c r="D9" s="45">
        <f>IF(ISNA(VLOOKUP($H9,UitslagFig!$C$5:$K$251,1,FALSE)),"",VLOOKUP($H9,UitslagFig!$C$5:$K$251,3,FALSE))</f>
        <v>0</v>
      </c>
      <c r="E9" s="45"/>
      <c r="F9" s="45"/>
      <c r="G9" s="249">
        <f>IF(ISNA(VLOOKUP($H9,UitslagFig!$C$5:$K$251,1,FALSE)),"",VLOOKUP($H9,UitslagFig!$C$5:$K$251,2,FALSE))</f>
        <v>0</v>
      </c>
      <c r="H9" s="45"/>
      <c r="I9" s="47"/>
      <c r="J9" s="45">
        <f>IF(ISNA(VLOOKUP($K9,UitslagFig!$C$5:$K$251,1,FALSE)),"",VLOOKUP($K9,UitslagFig!$C$5:$K$251,2,FALSE))</f>
        <v>0</v>
      </c>
      <c r="K9" s="45"/>
      <c r="L9" s="47"/>
      <c r="M9" s="48">
        <f>IF(ISNA(VLOOKUP($N9,UitslagFig!$C$5:$N$250,1,FALSE)),"",VLOOKUP($N9,UitslagFig!$C$5:$N$250,2,FALSE))</f>
        <v>0</v>
      </c>
      <c r="N9" s="48"/>
      <c r="O9" s="47"/>
      <c r="P9" s="250">
        <f t="shared" si="2"/>
        <v>0</v>
      </c>
      <c r="Q9" s="48">
        <f>IF(ISNA(VLOOKUP($H9,UitslagFig!$C$5:$K$251,1,FALSE)),"",VLOOKUP($H9,UitslagFig!$C$5:$K$251,5,FALSE))</f>
        <v>0</v>
      </c>
      <c r="R9" s="49"/>
      <c r="S9" s="50">
        <v>0</v>
      </c>
      <c r="T9" s="24">
        <f t="shared" si="3"/>
      </c>
      <c r="U9" s="51">
        <f t="shared" si="4"/>
        <v>0</v>
      </c>
      <c r="V9" s="24">
        <f t="shared" si="5"/>
      </c>
      <c r="W9" s="52"/>
      <c r="X9" s="53"/>
      <c r="Y9" s="53"/>
      <c r="Z9" s="53"/>
      <c r="AA9" s="53"/>
      <c r="AB9" s="54">
        <f t="shared" si="6"/>
        <v>0</v>
      </c>
      <c r="AC9" s="55">
        <f t="shared" si="7"/>
        <v>0</v>
      </c>
      <c r="AD9" s="55">
        <f t="shared" si="8"/>
        <v>0</v>
      </c>
      <c r="AE9" s="55">
        <f t="shared" si="9"/>
        <v>0</v>
      </c>
      <c r="AF9" s="55">
        <f t="shared" si="10"/>
        <v>0</v>
      </c>
      <c r="AG9" s="56">
        <f t="shared" si="11"/>
        <v>0</v>
      </c>
      <c r="AH9" s="57">
        <f t="shared" si="12"/>
        <v>0</v>
      </c>
      <c r="AI9" s="58">
        <f t="shared" si="13"/>
        <v>4</v>
      </c>
      <c r="AJ9" s="52"/>
      <c r="AK9" s="53"/>
      <c r="AL9" s="53"/>
      <c r="AM9" s="53"/>
      <c r="AN9" s="53"/>
      <c r="AO9" s="59">
        <f t="shared" si="14"/>
        <v>0</v>
      </c>
      <c r="AP9" s="60">
        <f t="shared" si="15"/>
        <v>0</v>
      </c>
      <c r="AQ9" s="60">
        <f t="shared" si="16"/>
        <v>0</v>
      </c>
      <c r="AR9" s="60">
        <f t="shared" si="17"/>
        <v>0</v>
      </c>
      <c r="AS9" s="60">
        <f t="shared" si="18"/>
        <v>0</v>
      </c>
      <c r="AT9" s="61">
        <f t="shared" si="19"/>
        <v>0</v>
      </c>
      <c r="AU9" s="62">
        <f t="shared" si="20"/>
        <v>0</v>
      </c>
      <c r="AV9" s="63">
        <f t="shared" si="21"/>
        <v>4</v>
      </c>
      <c r="AW9" s="52"/>
      <c r="AX9" s="53"/>
      <c r="AY9" s="53"/>
      <c r="AZ9" s="53"/>
      <c r="BA9" s="53"/>
      <c r="BB9" s="66">
        <f t="shared" si="22"/>
        <v>0</v>
      </c>
      <c r="BC9" s="67">
        <f t="shared" si="23"/>
        <v>0</v>
      </c>
      <c r="BD9" s="67">
        <f t="shared" si="24"/>
        <v>0</v>
      </c>
      <c r="BE9" s="67">
        <f t="shared" si="25"/>
        <v>0</v>
      </c>
      <c r="BF9" s="67">
        <f t="shared" si="26"/>
        <v>0</v>
      </c>
      <c r="BG9" s="68">
        <f t="shared" si="27"/>
        <v>0</v>
      </c>
      <c r="BH9" s="69">
        <f t="shared" si="28"/>
        <v>0</v>
      </c>
      <c r="BI9" s="70">
        <f t="shared" si="29"/>
        <v>4</v>
      </c>
      <c r="BJ9" s="71">
        <v>0</v>
      </c>
      <c r="BK9" s="72">
        <f t="shared" si="30"/>
        <v>0</v>
      </c>
      <c r="BL9" s="73">
        <f t="shared" si="31"/>
        <v>0</v>
      </c>
      <c r="BM9" s="74">
        <f t="shared" si="32"/>
        <v>0</v>
      </c>
      <c r="BN9" s="73">
        <f t="shared" si="33"/>
        <v>0</v>
      </c>
      <c r="BO9" s="73">
        <f t="shared" si="34"/>
        <v>0</v>
      </c>
      <c r="BP9" s="73">
        <f t="shared" si="35"/>
        <v>0</v>
      </c>
      <c r="BQ9" s="75">
        <f>IF(ISNA(VLOOKUP(H9,UitslagFig!$C$5:$K$251,1,FALSE)),"",VLOOKUP(H9,UitslagFig!$C$5:$K$251,9,FALSE))</f>
        <v>0</v>
      </c>
      <c r="BR9" s="75">
        <f>IF(ISNA(VLOOKUP(K9,UitslagFig!$C$5:$K$251,1,FALSE)),"",VLOOKUP(K9,UitslagFig!$C$5:$K$251,9,FALSE))</f>
        <v>0</v>
      </c>
      <c r="BS9" s="75">
        <f>IF(ISNA(VLOOKUP(N9,UitslagFig!$C$5:$K$251,1,FALSE)),"",VLOOKUP(N9,UitslagFig!$C$5:$K$251,9,FALSE))</f>
        <v>0</v>
      </c>
      <c r="BT9" s="76">
        <f t="shared" si="36"/>
      </c>
      <c r="BU9" s="76">
        <f t="shared" si="37"/>
      </c>
      <c r="BV9" s="76">
        <f t="shared" si="38"/>
      </c>
      <c r="BW9" s="76">
        <f t="shared" si="39"/>
        <v>0</v>
      </c>
      <c r="BX9" s="76">
        <f t="shared" si="40"/>
        <v>0</v>
      </c>
      <c r="BY9" s="77">
        <f t="shared" si="41"/>
      </c>
      <c r="BZ9" s="77">
        <f t="shared" si="42"/>
        <v>0</v>
      </c>
      <c r="CA9" s="78">
        <f t="shared" si="43"/>
        <v>0</v>
      </c>
      <c r="CB9" s="79">
        <f t="shared" si="44"/>
      </c>
    </row>
    <row r="10" spans="1:80" ht="12.75">
      <c r="A10" s="8">
        <v>6</v>
      </c>
      <c r="B10" s="24">
        <f t="shared" si="0"/>
        <v>4</v>
      </c>
      <c r="C10" s="44">
        <f t="shared" si="1"/>
        <v>0</v>
      </c>
      <c r="D10" s="45">
        <f>IF(ISNA(VLOOKUP($H10,UitslagFig!$C$5:$K$251,1,FALSE)),"",VLOOKUP($H10,UitslagFig!$C$5:$K$251,3,FALSE))</f>
        <v>0</v>
      </c>
      <c r="E10" s="45"/>
      <c r="F10" s="45"/>
      <c r="G10" s="249">
        <f>IF(ISNA(VLOOKUP($H10,UitslagFig!$C$5:$K$251,1,FALSE)),"",VLOOKUP($H10,UitslagFig!$C$5:$K$251,2,FALSE))</f>
        <v>0</v>
      </c>
      <c r="H10" s="45"/>
      <c r="I10" s="47"/>
      <c r="J10" s="45">
        <f>IF(ISNA(VLOOKUP($K10,UitslagFig!$C$5:$K$251,1,FALSE)),"",VLOOKUP($K10,UitslagFig!$C$5:$K$251,2,FALSE))</f>
        <v>0</v>
      </c>
      <c r="K10" s="45"/>
      <c r="L10" s="47"/>
      <c r="M10" s="45">
        <f>IF(ISNA(VLOOKUP($N10,UitslagFig!$C$5:$N$250,1,FALSE)),"",VLOOKUP($N10,UitslagFig!$C$5:$N$250,2,FALSE))</f>
        <v>0</v>
      </c>
      <c r="N10" s="45"/>
      <c r="O10" s="47"/>
      <c r="P10" s="250">
        <f t="shared" si="2"/>
        <v>0</v>
      </c>
      <c r="Q10" s="48">
        <f>IF(ISNA(VLOOKUP($H10,UitslagFig!$C$5:$K$251,1,FALSE)),"",VLOOKUP($H10,UitslagFig!$C$5:$K$251,5,FALSE))</f>
        <v>0</v>
      </c>
      <c r="R10" s="49"/>
      <c r="S10" s="50">
        <v>0</v>
      </c>
      <c r="T10" s="24">
        <f t="shared" si="3"/>
      </c>
      <c r="U10" s="51">
        <f t="shared" si="4"/>
        <v>0</v>
      </c>
      <c r="V10" s="24">
        <f t="shared" si="5"/>
      </c>
      <c r="W10" s="52"/>
      <c r="X10" s="53"/>
      <c r="Y10" s="53"/>
      <c r="Z10" s="53"/>
      <c r="AA10" s="53"/>
      <c r="AB10" s="54">
        <f t="shared" si="6"/>
        <v>0</v>
      </c>
      <c r="AC10" s="55">
        <f t="shared" si="7"/>
        <v>0</v>
      </c>
      <c r="AD10" s="55">
        <f t="shared" si="8"/>
        <v>0</v>
      </c>
      <c r="AE10" s="55">
        <f t="shared" si="9"/>
        <v>0</v>
      </c>
      <c r="AF10" s="55">
        <f t="shared" si="10"/>
        <v>0</v>
      </c>
      <c r="AG10" s="56">
        <f t="shared" si="11"/>
        <v>0</v>
      </c>
      <c r="AH10" s="57">
        <f t="shared" si="12"/>
        <v>0</v>
      </c>
      <c r="AI10" s="58">
        <f t="shared" si="13"/>
        <v>4</v>
      </c>
      <c r="AJ10" s="52"/>
      <c r="AK10" s="53"/>
      <c r="AL10" s="53"/>
      <c r="AM10" s="53"/>
      <c r="AN10" s="53"/>
      <c r="AO10" s="59">
        <f t="shared" si="14"/>
        <v>0</v>
      </c>
      <c r="AP10" s="60">
        <f t="shared" si="15"/>
        <v>0</v>
      </c>
      <c r="AQ10" s="60">
        <f t="shared" si="16"/>
        <v>0</v>
      </c>
      <c r="AR10" s="60">
        <f t="shared" si="17"/>
        <v>0</v>
      </c>
      <c r="AS10" s="60">
        <f t="shared" si="18"/>
        <v>0</v>
      </c>
      <c r="AT10" s="61">
        <f t="shared" si="19"/>
        <v>0</v>
      </c>
      <c r="AU10" s="62">
        <f t="shared" si="20"/>
        <v>0</v>
      </c>
      <c r="AV10" s="63">
        <f t="shared" si="21"/>
        <v>4</v>
      </c>
      <c r="AW10" s="52"/>
      <c r="AX10" s="53"/>
      <c r="AY10" s="53"/>
      <c r="AZ10" s="53"/>
      <c r="BA10" s="53"/>
      <c r="BB10" s="66">
        <f t="shared" si="22"/>
        <v>0</v>
      </c>
      <c r="BC10" s="67">
        <f t="shared" si="23"/>
        <v>0</v>
      </c>
      <c r="BD10" s="67">
        <f t="shared" si="24"/>
        <v>0</v>
      </c>
      <c r="BE10" s="67">
        <f t="shared" si="25"/>
        <v>0</v>
      </c>
      <c r="BF10" s="67">
        <f t="shared" si="26"/>
        <v>0</v>
      </c>
      <c r="BG10" s="68">
        <f t="shared" si="27"/>
        <v>0</v>
      </c>
      <c r="BH10" s="69">
        <f t="shared" si="28"/>
        <v>0</v>
      </c>
      <c r="BI10" s="70">
        <f t="shared" si="29"/>
        <v>4</v>
      </c>
      <c r="BJ10" s="71">
        <v>0</v>
      </c>
      <c r="BK10" s="72">
        <f t="shared" si="30"/>
        <v>0</v>
      </c>
      <c r="BL10" s="73">
        <f t="shared" si="31"/>
        <v>0</v>
      </c>
      <c r="BM10" s="74">
        <f t="shared" si="32"/>
        <v>0</v>
      </c>
      <c r="BN10" s="73">
        <f t="shared" si="33"/>
        <v>0</v>
      </c>
      <c r="BO10" s="73">
        <f t="shared" si="34"/>
        <v>0</v>
      </c>
      <c r="BP10" s="73">
        <f t="shared" si="35"/>
        <v>0</v>
      </c>
      <c r="BQ10" s="75">
        <f>IF(ISNA(VLOOKUP(H10,UitslagFig!$C$5:$K$251,1,FALSE)),"",VLOOKUP(H10,UitslagFig!$C$5:$K$251,9,FALSE))</f>
        <v>0</v>
      </c>
      <c r="BR10" s="75">
        <f>IF(ISNA(VLOOKUP(K10,UitslagFig!$C$5:$K$251,1,FALSE)),"",VLOOKUP(K10,UitslagFig!$C$5:$K$251,9,FALSE))</f>
        <v>0</v>
      </c>
      <c r="BS10" s="75">
        <f>IF(ISNA(VLOOKUP(N10,UitslagFig!$C$5:$K$251,1,FALSE)),"",VLOOKUP(N10,UitslagFig!$C$5:$K$251,9,FALSE))</f>
        <v>0</v>
      </c>
      <c r="BT10" s="76">
        <f t="shared" si="36"/>
      </c>
      <c r="BU10" s="76">
        <f t="shared" si="37"/>
      </c>
      <c r="BV10" s="76">
        <f t="shared" si="38"/>
      </c>
      <c r="BW10" s="76">
        <f t="shared" si="39"/>
        <v>0</v>
      </c>
      <c r="BX10" s="76">
        <f t="shared" si="40"/>
        <v>0</v>
      </c>
      <c r="BY10" s="77">
        <f t="shared" si="41"/>
      </c>
      <c r="BZ10" s="77">
        <f t="shared" si="42"/>
        <v>0</v>
      </c>
      <c r="CA10" s="78">
        <f t="shared" si="43"/>
        <v>0</v>
      </c>
      <c r="CB10" s="79">
        <f t="shared" si="44"/>
      </c>
    </row>
    <row r="11" spans="1:80" ht="12.75">
      <c r="A11" s="8">
        <v>7</v>
      </c>
      <c r="B11" s="24">
        <f t="shared" si="0"/>
        <v>4</v>
      </c>
      <c r="C11" s="44">
        <f t="shared" si="1"/>
        <v>0</v>
      </c>
      <c r="D11" s="45">
        <f>IF(ISNA(VLOOKUP($H11,UitslagFig!$C$5:$K$251,1,FALSE)),"",VLOOKUP($H11,UitslagFig!$C$5:$K$251,3,FALSE))</f>
        <v>0</v>
      </c>
      <c r="E11" s="45"/>
      <c r="F11" s="45"/>
      <c r="G11" s="249">
        <f>IF(ISNA(VLOOKUP($H11,UitslagFig!$C$5:$K$251,1,FALSE)),"",VLOOKUP($H11,UitslagFig!$C$5:$K$251,2,FALSE))</f>
        <v>0</v>
      </c>
      <c r="H11" s="45"/>
      <c r="I11" s="47"/>
      <c r="J11" s="45">
        <f>IF(ISNA(VLOOKUP($K11,UitslagFig!$C$5:$K$251,1,FALSE)),"",VLOOKUP($K11,UitslagFig!$C$5:$K$251,2,FALSE))</f>
        <v>0</v>
      </c>
      <c r="K11" s="45"/>
      <c r="L11" s="47"/>
      <c r="M11" s="48">
        <f>IF(ISNA(VLOOKUP($N11,UitslagFig!$C$5:$N$250,1,FALSE)),"",VLOOKUP($N11,UitslagFig!$C$5:$N$250,2,FALSE))</f>
        <v>0</v>
      </c>
      <c r="N11" s="48"/>
      <c r="O11" s="47"/>
      <c r="P11" s="250">
        <f t="shared" si="2"/>
        <v>0</v>
      </c>
      <c r="Q11" s="48">
        <f>IF(ISNA(VLOOKUP($H11,UitslagFig!$C$5:$K$251,1,FALSE)),"",VLOOKUP($H11,UitslagFig!$C$5:$K$251,5,FALSE))</f>
        <v>0</v>
      </c>
      <c r="R11" s="49"/>
      <c r="S11" s="50">
        <v>0</v>
      </c>
      <c r="T11" s="24">
        <f t="shared" si="3"/>
      </c>
      <c r="U11" s="51">
        <f t="shared" si="4"/>
        <v>0</v>
      </c>
      <c r="V11" s="24">
        <f t="shared" si="5"/>
      </c>
      <c r="W11" s="52"/>
      <c r="X11" s="53"/>
      <c r="Y11" s="53"/>
      <c r="Z11" s="53"/>
      <c r="AA11" s="53"/>
      <c r="AB11" s="54">
        <f t="shared" si="6"/>
        <v>0</v>
      </c>
      <c r="AC11" s="55">
        <f t="shared" si="7"/>
        <v>0</v>
      </c>
      <c r="AD11" s="55">
        <f t="shared" si="8"/>
        <v>0</v>
      </c>
      <c r="AE11" s="55">
        <f t="shared" si="9"/>
        <v>0</v>
      </c>
      <c r="AF11" s="55">
        <f t="shared" si="10"/>
        <v>0</v>
      </c>
      <c r="AG11" s="56">
        <f t="shared" si="11"/>
        <v>0</v>
      </c>
      <c r="AH11" s="57">
        <f t="shared" si="12"/>
        <v>0</v>
      </c>
      <c r="AI11" s="58">
        <f t="shared" si="13"/>
        <v>4</v>
      </c>
      <c r="AJ11" s="52"/>
      <c r="AK11" s="53"/>
      <c r="AL11" s="53"/>
      <c r="AM11" s="53"/>
      <c r="AN11" s="53"/>
      <c r="AO11" s="59">
        <f t="shared" si="14"/>
        <v>0</v>
      </c>
      <c r="AP11" s="60">
        <f t="shared" si="15"/>
        <v>0</v>
      </c>
      <c r="AQ11" s="60">
        <f t="shared" si="16"/>
        <v>0</v>
      </c>
      <c r="AR11" s="60">
        <f t="shared" si="17"/>
        <v>0</v>
      </c>
      <c r="AS11" s="60">
        <f t="shared" si="18"/>
        <v>0</v>
      </c>
      <c r="AT11" s="61">
        <f t="shared" si="19"/>
        <v>0</v>
      </c>
      <c r="AU11" s="62">
        <f t="shared" si="20"/>
        <v>0</v>
      </c>
      <c r="AV11" s="63">
        <f t="shared" si="21"/>
        <v>4</v>
      </c>
      <c r="AW11" s="52"/>
      <c r="AX11" s="53"/>
      <c r="AY11" s="53"/>
      <c r="AZ11" s="53"/>
      <c r="BA11" s="53"/>
      <c r="BB11" s="66">
        <f t="shared" si="22"/>
        <v>0</v>
      </c>
      <c r="BC11" s="67">
        <f t="shared" si="23"/>
        <v>0</v>
      </c>
      <c r="BD11" s="67">
        <f t="shared" si="24"/>
        <v>0</v>
      </c>
      <c r="BE11" s="67">
        <f t="shared" si="25"/>
        <v>0</v>
      </c>
      <c r="BF11" s="67">
        <f t="shared" si="26"/>
        <v>0</v>
      </c>
      <c r="BG11" s="68">
        <f t="shared" si="27"/>
        <v>0</v>
      </c>
      <c r="BH11" s="69">
        <f t="shared" si="28"/>
        <v>0</v>
      </c>
      <c r="BI11" s="70">
        <f t="shared" si="29"/>
        <v>4</v>
      </c>
      <c r="BJ11" s="71">
        <v>0</v>
      </c>
      <c r="BK11" s="72">
        <f t="shared" si="30"/>
        <v>0</v>
      </c>
      <c r="BL11" s="73">
        <f t="shared" si="31"/>
        <v>0</v>
      </c>
      <c r="BM11" s="74">
        <f t="shared" si="32"/>
        <v>0</v>
      </c>
      <c r="BN11" s="73">
        <f t="shared" si="33"/>
        <v>0</v>
      </c>
      <c r="BO11" s="73">
        <f t="shared" si="34"/>
        <v>0</v>
      </c>
      <c r="BP11" s="73">
        <f t="shared" si="35"/>
        <v>0</v>
      </c>
      <c r="BQ11" s="75">
        <f>IF(ISNA(VLOOKUP(H11,UitslagFig!$C$5:$K$251,1,FALSE)),"",VLOOKUP(H11,UitslagFig!$C$5:$K$251,9,FALSE))</f>
        <v>0</v>
      </c>
      <c r="BR11" s="75">
        <f>IF(ISNA(VLOOKUP(K11,UitslagFig!$C$5:$K$251,1,FALSE)),"",VLOOKUP(K11,UitslagFig!$C$5:$K$251,9,FALSE))</f>
        <v>0</v>
      </c>
      <c r="BS11" s="75">
        <f>IF(ISNA(VLOOKUP(N11,UitslagFig!$C$5:$K$251,1,FALSE)),"",VLOOKUP(N11,UitslagFig!$C$5:$K$251,9,FALSE))</f>
        <v>0</v>
      </c>
      <c r="BT11" s="76">
        <f t="shared" si="36"/>
      </c>
      <c r="BU11" s="76">
        <f t="shared" si="37"/>
      </c>
      <c r="BV11" s="76">
        <f t="shared" si="38"/>
      </c>
      <c r="BW11" s="76">
        <f t="shared" si="39"/>
        <v>0</v>
      </c>
      <c r="BX11" s="76">
        <f t="shared" si="40"/>
        <v>0</v>
      </c>
      <c r="BY11" s="77">
        <f t="shared" si="41"/>
      </c>
      <c r="BZ11" s="77">
        <f t="shared" si="42"/>
        <v>0</v>
      </c>
      <c r="CA11" s="78">
        <f t="shared" si="43"/>
        <v>0</v>
      </c>
      <c r="CB11" s="79">
        <f t="shared" si="44"/>
      </c>
    </row>
    <row r="12" spans="1:80" ht="12.75">
      <c r="A12" s="8">
        <v>8</v>
      </c>
      <c r="B12" s="24">
        <f t="shared" si="0"/>
        <v>4</v>
      </c>
      <c r="C12" s="44">
        <f t="shared" si="1"/>
        <v>0</v>
      </c>
      <c r="D12" s="45">
        <f>IF(ISNA(VLOOKUP($H12,UitslagFig!$C$5:$K$251,1,FALSE)),"",VLOOKUP($H12,UitslagFig!$C$5:$K$251,3,FALSE))</f>
        <v>0</v>
      </c>
      <c r="E12" s="45"/>
      <c r="F12" s="45"/>
      <c r="G12" s="249">
        <f>IF(ISNA(VLOOKUP($H12,UitslagFig!$C$5:$K$251,1,FALSE)),"",VLOOKUP($H12,UitslagFig!$C$5:$K$251,2,FALSE))</f>
        <v>0</v>
      </c>
      <c r="H12" s="45"/>
      <c r="I12" s="47"/>
      <c r="J12" s="45">
        <f>IF(ISNA(VLOOKUP($K12,UitslagFig!$C$5:$K$251,1,FALSE)),"",VLOOKUP($K12,UitslagFig!$C$5:$K$251,2,FALSE))</f>
        <v>0</v>
      </c>
      <c r="K12" s="45"/>
      <c r="L12" s="47"/>
      <c r="M12" s="48">
        <f>IF(ISNA(VLOOKUP($N12,UitslagFig!$C$5:$N$250,1,FALSE)),"",VLOOKUP($N12,UitslagFig!$C$5:$N$250,2,FALSE))</f>
        <v>0</v>
      </c>
      <c r="N12" s="48"/>
      <c r="O12" s="47"/>
      <c r="P12" s="250">
        <f t="shared" si="2"/>
        <v>0</v>
      </c>
      <c r="Q12" s="48">
        <f>IF(ISNA(VLOOKUP($H12,UitslagFig!$C$5:$K$251,1,FALSE)),"",VLOOKUP($H12,UitslagFig!$C$5:$K$251,5,FALSE))</f>
        <v>0</v>
      </c>
      <c r="R12" s="49"/>
      <c r="S12" s="50">
        <v>0</v>
      </c>
      <c r="T12" s="24">
        <f t="shared" si="3"/>
      </c>
      <c r="U12" s="51">
        <f t="shared" si="4"/>
        <v>0</v>
      </c>
      <c r="V12" s="24">
        <f t="shared" si="5"/>
      </c>
      <c r="W12" s="52"/>
      <c r="X12" s="53"/>
      <c r="Y12" s="53"/>
      <c r="Z12" s="53"/>
      <c r="AA12" s="53"/>
      <c r="AB12" s="54">
        <f t="shared" si="6"/>
        <v>0</v>
      </c>
      <c r="AC12" s="55">
        <f t="shared" si="7"/>
        <v>0</v>
      </c>
      <c r="AD12" s="55">
        <f t="shared" si="8"/>
        <v>0</v>
      </c>
      <c r="AE12" s="55">
        <f t="shared" si="9"/>
        <v>0</v>
      </c>
      <c r="AF12" s="55">
        <f t="shared" si="10"/>
        <v>0</v>
      </c>
      <c r="AG12" s="56">
        <f t="shared" si="11"/>
        <v>0</v>
      </c>
      <c r="AH12" s="57">
        <f t="shared" si="12"/>
        <v>0</v>
      </c>
      <c r="AI12" s="58">
        <f t="shared" si="13"/>
        <v>4</v>
      </c>
      <c r="AJ12" s="52"/>
      <c r="AK12" s="53"/>
      <c r="AL12" s="53"/>
      <c r="AM12" s="53"/>
      <c r="AN12" s="53"/>
      <c r="AO12" s="59">
        <f t="shared" si="14"/>
        <v>0</v>
      </c>
      <c r="AP12" s="60">
        <f t="shared" si="15"/>
        <v>0</v>
      </c>
      <c r="AQ12" s="60">
        <f t="shared" si="16"/>
        <v>0</v>
      </c>
      <c r="AR12" s="60">
        <f t="shared" si="17"/>
        <v>0</v>
      </c>
      <c r="AS12" s="60">
        <f t="shared" si="18"/>
        <v>0</v>
      </c>
      <c r="AT12" s="61">
        <f t="shared" si="19"/>
        <v>0</v>
      </c>
      <c r="AU12" s="62">
        <f t="shared" si="20"/>
        <v>0</v>
      </c>
      <c r="AV12" s="63">
        <f t="shared" si="21"/>
        <v>4</v>
      </c>
      <c r="AW12" s="52"/>
      <c r="AX12" s="53"/>
      <c r="AY12" s="53"/>
      <c r="AZ12" s="53"/>
      <c r="BA12" s="53"/>
      <c r="BB12" s="66">
        <f t="shared" si="22"/>
        <v>0</v>
      </c>
      <c r="BC12" s="67">
        <f t="shared" si="23"/>
        <v>0</v>
      </c>
      <c r="BD12" s="67">
        <f t="shared" si="24"/>
        <v>0</v>
      </c>
      <c r="BE12" s="67">
        <f t="shared" si="25"/>
        <v>0</v>
      </c>
      <c r="BF12" s="67">
        <f t="shared" si="26"/>
        <v>0</v>
      </c>
      <c r="BG12" s="68">
        <f t="shared" si="27"/>
        <v>0</v>
      </c>
      <c r="BH12" s="69">
        <f t="shared" si="28"/>
        <v>0</v>
      </c>
      <c r="BI12" s="70">
        <f t="shared" si="29"/>
        <v>4</v>
      </c>
      <c r="BJ12" s="71">
        <v>0</v>
      </c>
      <c r="BK12" s="72">
        <f t="shared" si="30"/>
        <v>0</v>
      </c>
      <c r="BL12" s="73">
        <f t="shared" si="31"/>
        <v>0</v>
      </c>
      <c r="BM12" s="74">
        <f t="shared" si="32"/>
        <v>0</v>
      </c>
      <c r="BN12" s="73">
        <f t="shared" si="33"/>
        <v>0</v>
      </c>
      <c r="BO12" s="73">
        <f t="shared" si="34"/>
        <v>0</v>
      </c>
      <c r="BP12" s="73">
        <f t="shared" si="35"/>
        <v>0</v>
      </c>
      <c r="BQ12" s="75">
        <f>IF(ISNA(VLOOKUP(H12,UitslagFig!$C$5:$K$251,1,FALSE)),"",VLOOKUP(H12,UitslagFig!$C$5:$K$251,9,FALSE))</f>
        <v>0</v>
      </c>
      <c r="BR12" s="75">
        <f>IF(ISNA(VLOOKUP(K12,UitslagFig!$C$5:$K$251,1,FALSE)),"",VLOOKUP(K12,UitslagFig!$C$5:$K$251,9,FALSE))</f>
        <v>0</v>
      </c>
      <c r="BS12" s="75">
        <f>IF(ISNA(VLOOKUP(N12,UitslagFig!$C$5:$K$251,1,FALSE)),"",VLOOKUP(N12,UitslagFig!$C$5:$K$251,9,FALSE))</f>
        <v>0</v>
      </c>
      <c r="BT12" s="76">
        <f t="shared" si="36"/>
      </c>
      <c r="BU12" s="76">
        <f t="shared" si="37"/>
      </c>
      <c r="BV12" s="76">
        <f t="shared" si="38"/>
      </c>
      <c r="BW12" s="76">
        <f t="shared" si="39"/>
        <v>0</v>
      </c>
      <c r="BX12" s="76">
        <f t="shared" si="40"/>
        <v>0</v>
      </c>
      <c r="BY12" s="77">
        <f t="shared" si="41"/>
      </c>
      <c r="BZ12" s="77">
        <f t="shared" si="42"/>
        <v>0</v>
      </c>
      <c r="CA12" s="78">
        <f t="shared" si="43"/>
        <v>0</v>
      </c>
      <c r="CB12" s="79">
        <f t="shared" si="44"/>
      </c>
    </row>
    <row r="13" spans="1:80" ht="12.75">
      <c r="A13" s="8">
        <v>9</v>
      </c>
      <c r="B13" s="24">
        <f t="shared" si="0"/>
        <v>4</v>
      </c>
      <c r="C13" s="44">
        <f t="shared" si="1"/>
        <v>0</v>
      </c>
      <c r="D13" s="45">
        <f>IF(ISNA(VLOOKUP($H13,UitslagFig!$C$5:$K$251,1,FALSE)),"",VLOOKUP($H13,UitslagFig!$C$5:$K$251,3,FALSE))</f>
        <v>0</v>
      </c>
      <c r="E13" s="45"/>
      <c r="F13" s="45"/>
      <c r="G13" s="249">
        <f>IF(ISNA(VLOOKUP($H13,UitslagFig!$C$5:$K$251,1,FALSE)),"",VLOOKUP($H13,UitslagFig!$C$5:$K$251,2,FALSE))</f>
        <v>0</v>
      </c>
      <c r="H13" s="45"/>
      <c r="I13" s="47"/>
      <c r="J13" s="45">
        <f>IF(ISNA(VLOOKUP($K13,UitslagFig!$C$5:$K$251,1,FALSE)),"",VLOOKUP($K13,UitslagFig!$C$5:$K$251,2,FALSE))</f>
        <v>0</v>
      </c>
      <c r="K13" s="45"/>
      <c r="L13" s="47"/>
      <c r="M13" s="45">
        <f>IF(ISNA(VLOOKUP($N13,UitslagFig!$C$5:$N$250,1,FALSE)),"",VLOOKUP($N13,UitslagFig!$C$5:$N$250,2,FALSE))</f>
        <v>0</v>
      </c>
      <c r="N13" s="45"/>
      <c r="O13" s="47"/>
      <c r="P13" s="250">
        <f t="shared" si="2"/>
        <v>0</v>
      </c>
      <c r="Q13" s="48">
        <f>IF(ISNA(VLOOKUP($H13,UitslagFig!$C$5:$K$251,1,FALSE)),"",VLOOKUP($H13,UitslagFig!$C$5:$K$251,5,FALSE))</f>
        <v>0</v>
      </c>
      <c r="R13" s="49"/>
      <c r="S13" s="50">
        <v>0</v>
      </c>
      <c r="T13" s="24">
        <f t="shared" si="3"/>
      </c>
      <c r="U13" s="51">
        <f t="shared" si="4"/>
        <v>0</v>
      </c>
      <c r="V13" s="24">
        <f t="shared" si="5"/>
      </c>
      <c r="W13" s="52"/>
      <c r="X13" s="53"/>
      <c r="Y13" s="53"/>
      <c r="Z13" s="53"/>
      <c r="AA13" s="53"/>
      <c r="AB13" s="54">
        <f t="shared" si="6"/>
        <v>0</v>
      </c>
      <c r="AC13" s="55">
        <f t="shared" si="7"/>
        <v>0</v>
      </c>
      <c r="AD13" s="55">
        <f t="shared" si="8"/>
        <v>0</v>
      </c>
      <c r="AE13" s="55">
        <f t="shared" si="9"/>
        <v>0</v>
      </c>
      <c r="AF13" s="55">
        <f t="shared" si="10"/>
        <v>0</v>
      </c>
      <c r="AG13" s="56">
        <f t="shared" si="11"/>
        <v>0</v>
      </c>
      <c r="AH13" s="57">
        <f t="shared" si="12"/>
        <v>0</v>
      </c>
      <c r="AI13" s="58">
        <f t="shared" si="13"/>
        <v>4</v>
      </c>
      <c r="AJ13" s="52"/>
      <c r="AK13" s="53"/>
      <c r="AL13" s="53"/>
      <c r="AM13" s="53"/>
      <c r="AN13" s="53"/>
      <c r="AO13" s="59">
        <f t="shared" si="14"/>
        <v>0</v>
      </c>
      <c r="AP13" s="60">
        <f t="shared" si="15"/>
        <v>0</v>
      </c>
      <c r="AQ13" s="60">
        <f t="shared" si="16"/>
        <v>0</v>
      </c>
      <c r="AR13" s="60">
        <f t="shared" si="17"/>
        <v>0</v>
      </c>
      <c r="AS13" s="60">
        <f t="shared" si="18"/>
        <v>0</v>
      </c>
      <c r="AT13" s="61">
        <f t="shared" si="19"/>
        <v>0</v>
      </c>
      <c r="AU13" s="62">
        <f t="shared" si="20"/>
        <v>0</v>
      </c>
      <c r="AV13" s="63">
        <f t="shared" si="21"/>
        <v>4</v>
      </c>
      <c r="AW13" s="52"/>
      <c r="AX13" s="53"/>
      <c r="AY13" s="53"/>
      <c r="AZ13" s="53"/>
      <c r="BA13" s="53"/>
      <c r="BB13" s="66">
        <f t="shared" si="22"/>
        <v>0</v>
      </c>
      <c r="BC13" s="67">
        <f t="shared" si="23"/>
        <v>0</v>
      </c>
      <c r="BD13" s="67">
        <f t="shared" si="24"/>
        <v>0</v>
      </c>
      <c r="BE13" s="67">
        <f t="shared" si="25"/>
        <v>0</v>
      </c>
      <c r="BF13" s="67">
        <f t="shared" si="26"/>
        <v>0</v>
      </c>
      <c r="BG13" s="68">
        <f t="shared" si="27"/>
        <v>0</v>
      </c>
      <c r="BH13" s="69">
        <f t="shared" si="28"/>
        <v>0</v>
      </c>
      <c r="BI13" s="70">
        <f t="shared" si="29"/>
        <v>4</v>
      </c>
      <c r="BJ13" s="71">
        <v>0</v>
      </c>
      <c r="BK13" s="72">
        <f t="shared" si="30"/>
        <v>0</v>
      </c>
      <c r="BL13" s="73">
        <f t="shared" si="31"/>
        <v>0</v>
      </c>
      <c r="BM13" s="74">
        <f t="shared" si="32"/>
        <v>0</v>
      </c>
      <c r="BN13" s="73">
        <f t="shared" si="33"/>
        <v>0</v>
      </c>
      <c r="BO13" s="73">
        <f t="shared" si="34"/>
        <v>0</v>
      </c>
      <c r="BP13" s="73">
        <f t="shared" si="35"/>
        <v>0</v>
      </c>
      <c r="BQ13" s="75">
        <f>IF(ISNA(VLOOKUP(H13,UitslagFig!$C$5:$K$251,1,FALSE)),"",VLOOKUP(H13,UitslagFig!$C$5:$K$251,9,FALSE))</f>
        <v>0</v>
      </c>
      <c r="BR13" s="75">
        <f>IF(ISNA(VLOOKUP(K13,UitslagFig!$C$5:$K$251,1,FALSE)),"",VLOOKUP(K13,UitslagFig!$C$5:$K$251,9,FALSE))</f>
        <v>0</v>
      </c>
      <c r="BS13" s="75">
        <f>IF(ISNA(VLOOKUP(N13,UitslagFig!$C$5:$K$251,1,FALSE)),"",VLOOKUP(N13,UitslagFig!$C$5:$K$251,9,FALSE))</f>
        <v>0</v>
      </c>
      <c r="BT13" s="76">
        <f t="shared" si="36"/>
      </c>
      <c r="BU13" s="76">
        <f t="shared" si="37"/>
      </c>
      <c r="BV13" s="76">
        <f t="shared" si="38"/>
      </c>
      <c r="BW13" s="76">
        <f t="shared" si="39"/>
        <v>0</v>
      </c>
      <c r="BX13" s="76">
        <f t="shared" si="40"/>
        <v>0</v>
      </c>
      <c r="BY13" s="77">
        <f t="shared" si="41"/>
      </c>
      <c r="BZ13" s="77">
        <f t="shared" si="42"/>
        <v>0</v>
      </c>
      <c r="CA13" s="78">
        <f t="shared" si="43"/>
        <v>0</v>
      </c>
      <c r="CB13" s="79">
        <f t="shared" si="44"/>
      </c>
    </row>
    <row r="14" spans="1:80" ht="12.75">
      <c r="A14" s="8">
        <v>10</v>
      </c>
      <c r="B14" s="24">
        <f t="shared" si="0"/>
        <v>4</v>
      </c>
      <c r="C14" s="44">
        <f t="shared" si="1"/>
        <v>0</v>
      </c>
      <c r="D14" s="45">
        <f>IF(ISNA(VLOOKUP($H14,UitslagFig!$C$5:$K$251,1,FALSE)),"",VLOOKUP($H14,UitslagFig!$C$5:$K$251,3,FALSE))</f>
        <v>0</v>
      </c>
      <c r="E14" s="45"/>
      <c r="F14" s="45"/>
      <c r="G14" s="249">
        <f>IF(ISNA(VLOOKUP($H14,UitslagFig!$C$5:$K$251,1,FALSE)),"",VLOOKUP($H14,UitslagFig!$C$5:$K$251,2,FALSE))</f>
        <v>0</v>
      </c>
      <c r="H14" s="45"/>
      <c r="I14" s="47"/>
      <c r="J14" s="45">
        <f>IF(ISNA(VLOOKUP($K14,UitslagFig!$C$5:$K$251,1,FALSE)),"",VLOOKUP($K14,UitslagFig!$C$5:$K$251,2,FALSE))</f>
        <v>0</v>
      </c>
      <c r="K14" s="45"/>
      <c r="L14" s="47"/>
      <c r="M14" s="48">
        <f>IF(ISNA(VLOOKUP($N14,UitslagFig!$C$5:$N$250,1,FALSE)),"",VLOOKUP($N14,UitslagFig!$C$5:$N$250,2,FALSE))</f>
        <v>0</v>
      </c>
      <c r="N14" s="48"/>
      <c r="O14" s="47"/>
      <c r="P14" s="250">
        <f t="shared" si="2"/>
        <v>0</v>
      </c>
      <c r="Q14" s="48">
        <f>IF(ISNA(VLOOKUP($H14,UitslagFig!$C$5:$K$251,1,FALSE)),"",VLOOKUP($H14,UitslagFig!$C$5:$K$251,5,FALSE))</f>
        <v>0</v>
      </c>
      <c r="R14" s="49"/>
      <c r="S14" s="50">
        <v>0</v>
      </c>
      <c r="T14" s="24">
        <f t="shared" si="3"/>
      </c>
      <c r="U14" s="51">
        <f t="shared" si="4"/>
        <v>0</v>
      </c>
      <c r="V14" s="24">
        <f t="shared" si="5"/>
      </c>
      <c r="W14" s="52"/>
      <c r="X14" s="53"/>
      <c r="Y14" s="53"/>
      <c r="Z14" s="53"/>
      <c r="AA14" s="53"/>
      <c r="AB14" s="54">
        <f t="shared" si="6"/>
        <v>0</v>
      </c>
      <c r="AC14" s="55">
        <f t="shared" si="7"/>
        <v>0</v>
      </c>
      <c r="AD14" s="55">
        <f t="shared" si="8"/>
        <v>0</v>
      </c>
      <c r="AE14" s="55">
        <f t="shared" si="9"/>
        <v>0</v>
      </c>
      <c r="AF14" s="55">
        <f t="shared" si="10"/>
        <v>0</v>
      </c>
      <c r="AG14" s="56">
        <f t="shared" si="11"/>
        <v>0</v>
      </c>
      <c r="AH14" s="57">
        <f t="shared" si="12"/>
        <v>0</v>
      </c>
      <c r="AI14" s="58">
        <f t="shared" si="13"/>
        <v>4</v>
      </c>
      <c r="AJ14" s="52"/>
      <c r="AK14" s="53"/>
      <c r="AL14" s="53"/>
      <c r="AM14" s="53"/>
      <c r="AN14" s="53"/>
      <c r="AO14" s="59">
        <f t="shared" si="14"/>
        <v>0</v>
      </c>
      <c r="AP14" s="60">
        <f t="shared" si="15"/>
        <v>0</v>
      </c>
      <c r="AQ14" s="60">
        <f t="shared" si="16"/>
        <v>0</v>
      </c>
      <c r="AR14" s="60">
        <f t="shared" si="17"/>
        <v>0</v>
      </c>
      <c r="AS14" s="60">
        <f t="shared" si="18"/>
        <v>0</v>
      </c>
      <c r="AT14" s="61">
        <f t="shared" si="19"/>
        <v>0</v>
      </c>
      <c r="AU14" s="62">
        <f t="shared" si="20"/>
        <v>0</v>
      </c>
      <c r="AV14" s="63">
        <f t="shared" si="21"/>
        <v>4</v>
      </c>
      <c r="AW14" s="52"/>
      <c r="AX14" s="53"/>
      <c r="AY14" s="53"/>
      <c r="AZ14" s="53"/>
      <c r="BA14" s="53"/>
      <c r="BB14" s="66">
        <f t="shared" si="22"/>
        <v>0</v>
      </c>
      <c r="BC14" s="67">
        <f t="shared" si="23"/>
        <v>0</v>
      </c>
      <c r="BD14" s="67">
        <f t="shared" si="24"/>
        <v>0</v>
      </c>
      <c r="BE14" s="67">
        <f t="shared" si="25"/>
        <v>0</v>
      </c>
      <c r="BF14" s="67">
        <f t="shared" si="26"/>
        <v>0</v>
      </c>
      <c r="BG14" s="68">
        <f t="shared" si="27"/>
        <v>0</v>
      </c>
      <c r="BH14" s="69">
        <f t="shared" si="28"/>
        <v>0</v>
      </c>
      <c r="BI14" s="70">
        <f t="shared" si="29"/>
        <v>4</v>
      </c>
      <c r="BJ14" s="71">
        <v>0</v>
      </c>
      <c r="BK14" s="72">
        <f t="shared" si="30"/>
        <v>0</v>
      </c>
      <c r="BL14" s="73">
        <f t="shared" si="31"/>
        <v>0</v>
      </c>
      <c r="BM14" s="74">
        <f t="shared" si="32"/>
        <v>0</v>
      </c>
      <c r="BN14" s="73">
        <f t="shared" si="33"/>
        <v>0</v>
      </c>
      <c r="BO14" s="73">
        <f t="shared" si="34"/>
        <v>0</v>
      </c>
      <c r="BP14" s="73">
        <f t="shared" si="35"/>
        <v>0</v>
      </c>
      <c r="BQ14" s="75">
        <f>IF(ISNA(VLOOKUP(H14,UitslagFig!$C$5:$K$251,1,FALSE)),"",VLOOKUP(H14,UitslagFig!$C$5:$K$251,9,FALSE))</f>
        <v>0</v>
      </c>
      <c r="BR14" s="75">
        <f>IF(ISNA(VLOOKUP(K14,UitslagFig!$C$5:$K$251,1,FALSE)),"",VLOOKUP(K14,UitslagFig!$C$5:$K$251,9,FALSE))</f>
        <v>0</v>
      </c>
      <c r="BS14" s="75">
        <f>IF(ISNA(VLOOKUP(N14,UitslagFig!$C$5:$K$251,1,FALSE)),"",VLOOKUP(N14,UitslagFig!$C$5:$K$251,9,FALSE))</f>
        <v>0</v>
      </c>
      <c r="BT14" s="76">
        <f t="shared" si="36"/>
      </c>
      <c r="BU14" s="76">
        <f t="shared" si="37"/>
      </c>
      <c r="BV14" s="76">
        <f t="shared" si="38"/>
      </c>
      <c r="BW14" s="76">
        <f t="shared" si="39"/>
        <v>0</v>
      </c>
      <c r="BX14" s="76">
        <f t="shared" si="40"/>
        <v>0</v>
      </c>
      <c r="BY14" s="77">
        <f t="shared" si="41"/>
      </c>
      <c r="BZ14" s="77">
        <f t="shared" si="42"/>
        <v>0</v>
      </c>
      <c r="CA14" s="78">
        <f t="shared" si="43"/>
        <v>0</v>
      </c>
      <c r="CB14" s="79">
        <f t="shared" si="44"/>
      </c>
    </row>
    <row r="15" spans="1:256" s="84" customFormat="1" ht="12.75">
      <c r="A15" s="8">
        <v>11</v>
      </c>
      <c r="B15" s="24">
        <f t="shared" si="0"/>
        <v>4</v>
      </c>
      <c r="C15" s="44">
        <f t="shared" si="1"/>
        <v>0</v>
      </c>
      <c r="D15" s="45">
        <f>IF(ISNA(VLOOKUP($H15,UitslagFig!$C$5:$K$251,1,FALSE)),"",VLOOKUP($H15,UitslagFig!$C$5:$K$251,3,FALSE))</f>
        <v>0</v>
      </c>
      <c r="E15" s="45"/>
      <c r="F15" s="45"/>
      <c r="G15" s="249">
        <f>IF(ISNA(VLOOKUP($H15,UitslagFig!$C$5:$K$251,1,FALSE)),"",VLOOKUP($H15,UitslagFig!$C$5:$K$251,2,FALSE))</f>
        <v>0</v>
      </c>
      <c r="H15" s="45"/>
      <c r="I15" s="47"/>
      <c r="J15" s="45">
        <f>IF(ISNA(VLOOKUP($K15,UitslagFig!$C$5:$K$251,1,FALSE)),"",VLOOKUP($K15,UitslagFig!$C$5:$K$251,2,FALSE))</f>
        <v>0</v>
      </c>
      <c r="K15" s="45"/>
      <c r="L15" s="47"/>
      <c r="M15" s="45">
        <f>IF(ISNA(VLOOKUP($N15,UitslagFig!$C$5:$N$250,1,FALSE)),"",VLOOKUP($N15,UitslagFig!$C$5:$N$250,2,FALSE))</f>
        <v>0</v>
      </c>
      <c r="N15" s="45"/>
      <c r="O15" s="47"/>
      <c r="P15" s="250">
        <f t="shared" si="2"/>
        <v>0</v>
      </c>
      <c r="Q15" s="48">
        <f>IF(ISNA(VLOOKUP($H15,UitslagFig!$C$5:$K$251,1,FALSE)),"",VLOOKUP($H15,UitslagFig!$C$5:$K$251,5,FALSE))</f>
        <v>0</v>
      </c>
      <c r="R15" s="49"/>
      <c r="S15" s="50">
        <v>0</v>
      </c>
      <c r="T15" s="24">
        <f t="shared" si="3"/>
      </c>
      <c r="U15" s="51">
        <f t="shared" si="4"/>
        <v>0</v>
      </c>
      <c r="V15" s="24">
        <f t="shared" si="5"/>
      </c>
      <c r="W15" s="52"/>
      <c r="X15" s="53"/>
      <c r="Y15" s="53"/>
      <c r="Z15" s="53"/>
      <c r="AA15" s="53"/>
      <c r="AB15" s="54">
        <f t="shared" si="6"/>
        <v>0</v>
      </c>
      <c r="AC15" s="55">
        <f t="shared" si="7"/>
        <v>0</v>
      </c>
      <c r="AD15" s="55">
        <f t="shared" si="8"/>
        <v>0</v>
      </c>
      <c r="AE15" s="55">
        <f t="shared" si="9"/>
        <v>0</v>
      </c>
      <c r="AF15" s="55">
        <f t="shared" si="10"/>
        <v>0</v>
      </c>
      <c r="AG15" s="56">
        <f t="shared" si="11"/>
        <v>0</v>
      </c>
      <c r="AH15" s="57">
        <f t="shared" si="12"/>
        <v>0</v>
      </c>
      <c r="AI15" s="58">
        <f t="shared" si="13"/>
        <v>4</v>
      </c>
      <c r="AJ15" s="52"/>
      <c r="AK15" s="53"/>
      <c r="AL15" s="53"/>
      <c r="AM15" s="53"/>
      <c r="AN15" s="53"/>
      <c r="AO15" s="59">
        <f t="shared" si="14"/>
        <v>0</v>
      </c>
      <c r="AP15" s="60">
        <f t="shared" si="15"/>
        <v>0</v>
      </c>
      <c r="AQ15" s="60">
        <f t="shared" si="16"/>
        <v>0</v>
      </c>
      <c r="AR15" s="60">
        <f t="shared" si="17"/>
        <v>0</v>
      </c>
      <c r="AS15" s="60">
        <f t="shared" si="18"/>
        <v>0</v>
      </c>
      <c r="AT15" s="61">
        <f t="shared" si="19"/>
        <v>0</v>
      </c>
      <c r="AU15" s="62">
        <f t="shared" si="20"/>
        <v>0</v>
      </c>
      <c r="AV15" s="63">
        <f t="shared" si="21"/>
        <v>4</v>
      </c>
      <c r="AW15" s="52"/>
      <c r="AX15" s="53"/>
      <c r="AY15" s="53"/>
      <c r="AZ15" s="53"/>
      <c r="BA15" s="53"/>
      <c r="BB15" s="66">
        <f t="shared" si="22"/>
        <v>0</v>
      </c>
      <c r="BC15" s="67">
        <f t="shared" si="23"/>
        <v>0</v>
      </c>
      <c r="BD15" s="67">
        <f t="shared" si="24"/>
        <v>0</v>
      </c>
      <c r="BE15" s="67">
        <f t="shared" si="25"/>
        <v>0</v>
      </c>
      <c r="BF15" s="67">
        <f t="shared" si="26"/>
        <v>0</v>
      </c>
      <c r="BG15" s="68">
        <f t="shared" si="27"/>
        <v>0</v>
      </c>
      <c r="BH15" s="69">
        <f t="shared" si="28"/>
        <v>0</v>
      </c>
      <c r="BI15" s="70">
        <f t="shared" si="29"/>
        <v>4</v>
      </c>
      <c r="BJ15" s="71">
        <v>0</v>
      </c>
      <c r="BK15" s="72">
        <f t="shared" si="30"/>
        <v>0</v>
      </c>
      <c r="BL15" s="73">
        <f t="shared" si="31"/>
        <v>0</v>
      </c>
      <c r="BM15" s="74">
        <f t="shared" si="32"/>
        <v>0</v>
      </c>
      <c r="BN15" s="73">
        <f t="shared" si="33"/>
        <v>0</v>
      </c>
      <c r="BO15" s="73">
        <f t="shared" si="34"/>
        <v>0</v>
      </c>
      <c r="BP15" s="73">
        <f t="shared" si="35"/>
        <v>0</v>
      </c>
      <c r="BQ15" s="75">
        <f>IF(ISNA(VLOOKUP(H15,UitslagFig!$C$5:$K$251,1,FALSE)),"",VLOOKUP(H15,UitslagFig!$C$5:$K$251,9,FALSE))</f>
        <v>0</v>
      </c>
      <c r="BR15" s="75">
        <f>IF(ISNA(VLOOKUP(K15,UitslagFig!$C$5:$K$251,1,FALSE)),"",VLOOKUP(K15,UitslagFig!$C$5:$K$251,9,FALSE))</f>
        <v>0</v>
      </c>
      <c r="BS15" s="75">
        <f>IF(ISNA(VLOOKUP(N15,UitslagFig!$C$5:$K$251,1,FALSE)),"",VLOOKUP(N15,UitslagFig!$C$5:$K$251,9,FALSE))</f>
        <v>0</v>
      </c>
      <c r="BT15" s="76">
        <f t="shared" si="36"/>
      </c>
      <c r="BU15" s="76">
        <f t="shared" si="37"/>
      </c>
      <c r="BV15" s="76">
        <f t="shared" si="38"/>
      </c>
      <c r="BW15" s="76">
        <f t="shared" si="39"/>
        <v>0</v>
      </c>
      <c r="BX15" s="76">
        <f t="shared" si="40"/>
        <v>0</v>
      </c>
      <c r="BY15" s="77">
        <f t="shared" si="41"/>
      </c>
      <c r="BZ15" s="77">
        <f t="shared" si="42"/>
        <v>0</v>
      </c>
      <c r="CA15" s="78">
        <f t="shared" si="43"/>
        <v>0</v>
      </c>
      <c r="CB15" s="79">
        <f t="shared" si="44"/>
      </c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">
        <v>12</v>
      </c>
      <c r="B16" s="24">
        <f t="shared" si="0"/>
        <v>4</v>
      </c>
      <c r="C16" s="44">
        <f t="shared" si="1"/>
        <v>0</v>
      </c>
      <c r="D16" s="45">
        <f>IF(ISNA(VLOOKUP($H16,UitslagFig!$C$5:$K$251,1,FALSE)),"",VLOOKUP($H16,UitslagFig!$C$5:$K$251,3,FALSE))</f>
        <v>0</v>
      </c>
      <c r="E16" s="85"/>
      <c r="F16" s="85"/>
      <c r="G16" s="249">
        <f>IF(ISNA(VLOOKUP($H16,UitslagFig!$C$5:$K$251,1,FALSE)),"",VLOOKUP($H16,UitslagFig!$C$5:$K$251,2,FALSE))</f>
        <v>0</v>
      </c>
      <c r="H16" s="85"/>
      <c r="I16" s="47"/>
      <c r="J16" s="45">
        <f>IF(ISNA(VLOOKUP($K16,UitslagFig!$C$5:$K$251,1,FALSE)),"",VLOOKUP($K16,UitslagFig!$C$5:$K$251,2,FALSE))</f>
        <v>0</v>
      </c>
      <c r="K16" s="85"/>
      <c r="L16" s="47"/>
      <c r="M16" s="85">
        <f>IF(ISNA(VLOOKUP($N16,UitslagFig!$C$5:$N$250,1,FALSE)),"",VLOOKUP($N16,UitslagFig!$C$5:$N$250,2,FALSE))</f>
        <v>0</v>
      </c>
      <c r="N16" s="85"/>
      <c r="O16" s="47"/>
      <c r="P16" s="251">
        <f t="shared" si="2"/>
        <v>0</v>
      </c>
      <c r="Q16" s="252">
        <f>IF(ISNA(VLOOKUP($H16,UitslagFig!$C$5:$K$251,1,FALSE)),"",VLOOKUP($H16,UitslagFig!$C$5:$K$251,5,FALSE))</f>
        <v>0</v>
      </c>
      <c r="R16" s="86"/>
      <c r="S16" s="50">
        <v>0</v>
      </c>
      <c r="T16" s="24">
        <f t="shared" si="3"/>
      </c>
      <c r="U16" s="51">
        <f t="shared" si="4"/>
        <v>0</v>
      </c>
      <c r="V16" s="24">
        <f t="shared" si="5"/>
      </c>
      <c r="W16" s="52"/>
      <c r="X16" s="53"/>
      <c r="Y16" s="53"/>
      <c r="Z16" s="53"/>
      <c r="AA16" s="53"/>
      <c r="AB16" s="54">
        <f t="shared" si="6"/>
        <v>0</v>
      </c>
      <c r="AC16" s="55">
        <f t="shared" si="7"/>
        <v>0</v>
      </c>
      <c r="AD16" s="55">
        <f t="shared" si="8"/>
        <v>0</v>
      </c>
      <c r="AE16" s="55">
        <f t="shared" si="9"/>
        <v>0</v>
      </c>
      <c r="AF16" s="55">
        <f t="shared" si="10"/>
        <v>0</v>
      </c>
      <c r="AG16" s="56">
        <f t="shared" si="11"/>
        <v>0</v>
      </c>
      <c r="AH16" s="57">
        <f t="shared" si="12"/>
        <v>0</v>
      </c>
      <c r="AI16" s="58">
        <f t="shared" si="13"/>
        <v>4</v>
      </c>
      <c r="AJ16" s="52"/>
      <c r="AK16" s="53"/>
      <c r="AL16" s="53"/>
      <c r="AM16" s="53"/>
      <c r="AN16" s="53"/>
      <c r="AO16" s="59">
        <f t="shared" si="14"/>
        <v>0</v>
      </c>
      <c r="AP16" s="60">
        <f t="shared" si="15"/>
        <v>0</v>
      </c>
      <c r="AQ16" s="60">
        <f t="shared" si="16"/>
        <v>0</v>
      </c>
      <c r="AR16" s="60">
        <f t="shared" si="17"/>
        <v>0</v>
      </c>
      <c r="AS16" s="60">
        <f t="shared" si="18"/>
        <v>0</v>
      </c>
      <c r="AT16" s="61">
        <f t="shared" si="19"/>
        <v>0</v>
      </c>
      <c r="AU16" s="62">
        <f t="shared" si="20"/>
        <v>0</v>
      </c>
      <c r="AV16" s="63">
        <f t="shared" si="21"/>
        <v>4</v>
      </c>
      <c r="AW16" s="52"/>
      <c r="AX16" s="53"/>
      <c r="AY16" s="53"/>
      <c r="AZ16" s="53"/>
      <c r="BA16" s="53"/>
      <c r="BB16" s="66">
        <f t="shared" si="22"/>
        <v>0</v>
      </c>
      <c r="BC16" s="67">
        <f t="shared" si="23"/>
        <v>0</v>
      </c>
      <c r="BD16" s="67">
        <f t="shared" si="24"/>
        <v>0</v>
      </c>
      <c r="BE16" s="67">
        <f t="shared" si="25"/>
        <v>0</v>
      </c>
      <c r="BF16" s="67">
        <f t="shared" si="26"/>
        <v>0</v>
      </c>
      <c r="BG16" s="68">
        <f t="shared" si="27"/>
        <v>0</v>
      </c>
      <c r="BH16" s="69">
        <f t="shared" si="28"/>
        <v>0</v>
      </c>
      <c r="BI16" s="70">
        <f t="shared" si="29"/>
        <v>4</v>
      </c>
      <c r="BJ16" s="87">
        <v>0</v>
      </c>
      <c r="BK16" s="72">
        <f t="shared" si="30"/>
        <v>0</v>
      </c>
      <c r="BL16" s="73">
        <f t="shared" si="31"/>
        <v>0</v>
      </c>
      <c r="BM16" s="74">
        <f t="shared" si="32"/>
        <v>0</v>
      </c>
      <c r="BN16" s="73">
        <f t="shared" si="33"/>
        <v>0</v>
      </c>
      <c r="BO16" s="73">
        <f t="shared" si="34"/>
        <v>0</v>
      </c>
      <c r="BP16" s="73">
        <f t="shared" si="35"/>
        <v>0</v>
      </c>
      <c r="BQ16" s="75">
        <f>IF(ISNA(VLOOKUP(H16,UitslagFig!$C$5:$K$251,1,FALSE)),"",VLOOKUP(H16,UitslagFig!$C$5:$K$251,9,FALSE))</f>
        <v>0</v>
      </c>
      <c r="BR16" s="75">
        <f>IF(ISNA(VLOOKUP(K16,UitslagFig!$C$5:$K$251,1,FALSE)),"",VLOOKUP(K16,UitslagFig!$C$5:$K$251,9,FALSE))</f>
        <v>0</v>
      </c>
      <c r="BS16" s="75">
        <f>IF(ISNA(VLOOKUP(N16,UitslagFig!$C$5:$K$251,1,FALSE)),"",VLOOKUP(N16,UitslagFig!$C$5:$K$251,9,FALSE))</f>
        <v>0</v>
      </c>
      <c r="BT16" s="76">
        <f t="shared" si="36"/>
      </c>
      <c r="BU16" s="76">
        <f t="shared" si="37"/>
      </c>
      <c r="BV16" s="76">
        <f t="shared" si="38"/>
      </c>
      <c r="BW16" s="88">
        <f t="shared" si="39"/>
        <v>0</v>
      </c>
      <c r="BX16" s="76">
        <f t="shared" si="40"/>
        <v>0</v>
      </c>
      <c r="BY16" s="77">
        <f t="shared" si="41"/>
      </c>
      <c r="BZ16" s="89">
        <f t="shared" si="42"/>
        <v>0</v>
      </c>
      <c r="CA16" s="78">
        <f t="shared" si="43"/>
        <v>0</v>
      </c>
      <c r="CB16" s="79">
        <f t="shared" si="44"/>
      </c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80" ht="12.75">
      <c r="A17" s="8">
        <v>13</v>
      </c>
      <c r="B17" s="24">
        <f t="shared" si="0"/>
        <v>4</v>
      </c>
      <c r="C17" s="44">
        <f t="shared" si="1"/>
        <v>0</v>
      </c>
      <c r="D17" s="45">
        <f>IF(ISNA(VLOOKUP($H17,UitslagFig!$C$5:$K$251,1,FALSE)),"",VLOOKUP($H17,UitslagFig!$C$5:$K$251,3,FALSE))</f>
        <v>0</v>
      </c>
      <c r="E17" s="45"/>
      <c r="F17" s="45"/>
      <c r="G17" s="249">
        <f>IF(ISNA(VLOOKUP($H17,UitslagFig!$C$5:$K$251,1,FALSE)),"",VLOOKUP($H17,UitslagFig!$C$5:$K$251,2,FALSE))</f>
        <v>0</v>
      </c>
      <c r="H17" s="45"/>
      <c r="I17" s="47"/>
      <c r="J17" s="45">
        <f>IF(ISNA(VLOOKUP($K17,UitslagFig!$C$5:$K$251,1,FALSE)),"",VLOOKUP($K17,UitslagFig!$C$5:$K$251,2,FALSE))</f>
        <v>0</v>
      </c>
      <c r="K17" s="45"/>
      <c r="L17" s="47"/>
      <c r="M17" s="45">
        <f>IF(ISNA(VLOOKUP($N17,UitslagFig!$C$5:$N$250,1,FALSE)),"",VLOOKUP($N17,UitslagFig!$C$5:$N$250,2,FALSE))</f>
        <v>0</v>
      </c>
      <c r="N17" s="45"/>
      <c r="O17" s="47"/>
      <c r="P17" s="250">
        <f t="shared" si="2"/>
        <v>0</v>
      </c>
      <c r="Q17" s="48">
        <f>IF(ISNA(VLOOKUP($H17,UitslagFig!$C$5:$K$251,1,FALSE)),"",VLOOKUP($H17,UitslagFig!$C$5:$K$251,5,FALSE))</f>
        <v>0</v>
      </c>
      <c r="R17" s="49"/>
      <c r="S17" s="50">
        <v>0</v>
      </c>
      <c r="T17" s="24">
        <f t="shared" si="3"/>
      </c>
      <c r="U17" s="51">
        <f t="shared" si="4"/>
        <v>0</v>
      </c>
      <c r="V17" s="24">
        <f t="shared" si="5"/>
      </c>
      <c r="W17" s="52"/>
      <c r="X17" s="53"/>
      <c r="Y17" s="53"/>
      <c r="Z17" s="53"/>
      <c r="AA17" s="53"/>
      <c r="AB17" s="54">
        <f t="shared" si="6"/>
        <v>0</v>
      </c>
      <c r="AC17" s="55">
        <f t="shared" si="7"/>
        <v>0</v>
      </c>
      <c r="AD17" s="55">
        <f t="shared" si="8"/>
        <v>0</v>
      </c>
      <c r="AE17" s="55">
        <f t="shared" si="9"/>
        <v>0</v>
      </c>
      <c r="AF17" s="55">
        <f t="shared" si="10"/>
        <v>0</v>
      </c>
      <c r="AG17" s="56">
        <f t="shared" si="11"/>
        <v>0</v>
      </c>
      <c r="AH17" s="57">
        <f t="shared" si="12"/>
        <v>0</v>
      </c>
      <c r="AI17" s="58">
        <f t="shared" si="13"/>
        <v>4</v>
      </c>
      <c r="AJ17" s="52"/>
      <c r="AK17" s="53"/>
      <c r="AL17" s="53"/>
      <c r="AM17" s="53"/>
      <c r="AN17" s="53"/>
      <c r="AO17" s="59">
        <f t="shared" si="14"/>
        <v>0</v>
      </c>
      <c r="AP17" s="60">
        <f t="shared" si="15"/>
        <v>0</v>
      </c>
      <c r="AQ17" s="60">
        <f t="shared" si="16"/>
        <v>0</v>
      </c>
      <c r="AR17" s="60">
        <f t="shared" si="17"/>
        <v>0</v>
      </c>
      <c r="AS17" s="60">
        <f t="shared" si="18"/>
        <v>0</v>
      </c>
      <c r="AT17" s="61">
        <f t="shared" si="19"/>
        <v>0</v>
      </c>
      <c r="AU17" s="62">
        <f t="shared" si="20"/>
        <v>0</v>
      </c>
      <c r="AV17" s="63">
        <f t="shared" si="21"/>
        <v>4</v>
      </c>
      <c r="AW17" s="52"/>
      <c r="AX17" s="53"/>
      <c r="AY17" s="53"/>
      <c r="AZ17" s="53"/>
      <c r="BA17" s="53"/>
      <c r="BB17" s="66">
        <f t="shared" si="22"/>
        <v>0</v>
      </c>
      <c r="BC17" s="67">
        <f t="shared" si="23"/>
        <v>0</v>
      </c>
      <c r="BD17" s="67">
        <f t="shared" si="24"/>
        <v>0</v>
      </c>
      <c r="BE17" s="67">
        <f t="shared" si="25"/>
        <v>0</v>
      </c>
      <c r="BF17" s="67">
        <f t="shared" si="26"/>
        <v>0</v>
      </c>
      <c r="BG17" s="68">
        <f t="shared" si="27"/>
        <v>0</v>
      </c>
      <c r="BH17" s="69">
        <f t="shared" si="28"/>
        <v>0</v>
      </c>
      <c r="BI17" s="70">
        <f t="shared" si="29"/>
        <v>4</v>
      </c>
      <c r="BJ17" s="71">
        <v>0</v>
      </c>
      <c r="BK17" s="72">
        <f t="shared" si="30"/>
        <v>0</v>
      </c>
      <c r="BL17" s="73">
        <f t="shared" si="31"/>
        <v>0</v>
      </c>
      <c r="BM17" s="74">
        <f t="shared" si="32"/>
        <v>0</v>
      </c>
      <c r="BN17" s="73">
        <f t="shared" si="33"/>
        <v>0</v>
      </c>
      <c r="BO17" s="73">
        <f t="shared" si="34"/>
        <v>0</v>
      </c>
      <c r="BP17" s="73">
        <f t="shared" si="35"/>
        <v>0</v>
      </c>
      <c r="BQ17" s="75">
        <f>IF(ISNA(VLOOKUP(H17,UitslagFig!$C$5:$K$251,1,FALSE)),"",VLOOKUP(H17,UitslagFig!$C$5:$K$251,9,FALSE))</f>
        <v>0</v>
      </c>
      <c r="BR17" s="75">
        <f>IF(ISNA(VLOOKUP(K17,UitslagFig!$C$5:$K$251,1,FALSE)),"",VLOOKUP(K17,UitslagFig!$C$5:$K$251,9,FALSE))</f>
        <v>0</v>
      </c>
      <c r="BS17" s="75">
        <f>IF(ISNA(VLOOKUP(N17,UitslagFig!$C$5:$K$251,1,FALSE)),"",VLOOKUP(N17,UitslagFig!$C$5:$K$251,9,FALSE))</f>
        <v>0</v>
      </c>
      <c r="BT17" s="76">
        <f t="shared" si="36"/>
      </c>
      <c r="BU17" s="76">
        <f t="shared" si="37"/>
      </c>
      <c r="BV17" s="76">
        <f t="shared" si="38"/>
      </c>
      <c r="BW17" s="76">
        <f t="shared" si="39"/>
        <v>0</v>
      </c>
      <c r="BX17" s="76">
        <f t="shared" si="40"/>
        <v>0</v>
      </c>
      <c r="BY17" s="77">
        <f t="shared" si="41"/>
      </c>
      <c r="BZ17" s="77">
        <f t="shared" si="42"/>
        <v>0</v>
      </c>
      <c r="CA17" s="78">
        <f t="shared" si="43"/>
        <v>0</v>
      </c>
      <c r="CB17" s="79">
        <f t="shared" si="44"/>
      </c>
    </row>
    <row r="18" spans="1:80" ht="12.75">
      <c r="A18" s="8">
        <v>14</v>
      </c>
      <c r="B18" s="24">
        <f t="shared" si="0"/>
        <v>4</v>
      </c>
      <c r="C18" s="44">
        <f t="shared" si="1"/>
        <v>0</v>
      </c>
      <c r="D18" s="45">
        <f>IF(ISNA(VLOOKUP($H18,UitslagFig!$C$5:$K$251,1,FALSE)),"",VLOOKUP($H18,UitslagFig!$C$5:$K$251,3,FALSE))</f>
        <v>0</v>
      </c>
      <c r="E18" s="45"/>
      <c r="F18" s="45"/>
      <c r="G18" s="249">
        <f>IF(ISNA(VLOOKUP($H18,UitslagFig!$C$5:$K$251,1,FALSE)),"",VLOOKUP($H18,UitslagFig!$C$5:$K$251,2,FALSE))</f>
        <v>0</v>
      </c>
      <c r="H18" s="45"/>
      <c r="I18" s="47"/>
      <c r="J18" s="45">
        <f>IF(ISNA(VLOOKUP($K18,UitslagFig!$C$5:$K$251,1,FALSE)),"",VLOOKUP($K18,UitslagFig!$C$5:$K$251,2,FALSE))</f>
        <v>0</v>
      </c>
      <c r="K18" s="45"/>
      <c r="L18" s="47"/>
      <c r="M18" s="48">
        <f>IF(ISNA(VLOOKUP($N18,UitslagFig!$C$5:$N$250,1,FALSE)),"",VLOOKUP($N18,UitslagFig!$C$5:$N$250,2,FALSE))</f>
        <v>0</v>
      </c>
      <c r="N18" s="48"/>
      <c r="O18" s="47"/>
      <c r="P18" s="250">
        <f t="shared" si="2"/>
        <v>0</v>
      </c>
      <c r="Q18" s="48">
        <f>IF(ISNA(VLOOKUP($H18,UitslagFig!$C$5:$K$251,1,FALSE)),"",VLOOKUP($H18,UitslagFig!$C$5:$K$251,5,FALSE))</f>
        <v>0</v>
      </c>
      <c r="R18" s="49"/>
      <c r="S18" s="50">
        <v>0</v>
      </c>
      <c r="T18" s="24">
        <f t="shared" si="3"/>
      </c>
      <c r="U18" s="51">
        <f t="shared" si="4"/>
        <v>0</v>
      </c>
      <c r="V18" s="24">
        <f t="shared" si="5"/>
      </c>
      <c r="W18" s="52"/>
      <c r="X18" s="53"/>
      <c r="Y18" s="53"/>
      <c r="Z18" s="53"/>
      <c r="AA18" s="53"/>
      <c r="AB18" s="54">
        <f t="shared" si="6"/>
        <v>0</v>
      </c>
      <c r="AC18" s="55">
        <f t="shared" si="7"/>
        <v>0</v>
      </c>
      <c r="AD18" s="55">
        <f t="shared" si="8"/>
        <v>0</v>
      </c>
      <c r="AE18" s="55">
        <f t="shared" si="9"/>
        <v>0</v>
      </c>
      <c r="AF18" s="55">
        <f t="shared" si="10"/>
        <v>0</v>
      </c>
      <c r="AG18" s="56">
        <f t="shared" si="11"/>
        <v>0</v>
      </c>
      <c r="AH18" s="57">
        <f t="shared" si="12"/>
        <v>0</v>
      </c>
      <c r="AI18" s="58">
        <f t="shared" si="13"/>
        <v>4</v>
      </c>
      <c r="AJ18" s="52"/>
      <c r="AK18" s="53"/>
      <c r="AL18" s="53"/>
      <c r="AM18" s="53"/>
      <c r="AN18" s="53"/>
      <c r="AO18" s="59">
        <f t="shared" si="14"/>
        <v>0</v>
      </c>
      <c r="AP18" s="60">
        <f t="shared" si="15"/>
        <v>0</v>
      </c>
      <c r="AQ18" s="60">
        <f t="shared" si="16"/>
        <v>0</v>
      </c>
      <c r="AR18" s="60">
        <f t="shared" si="17"/>
        <v>0</v>
      </c>
      <c r="AS18" s="60">
        <f t="shared" si="18"/>
        <v>0</v>
      </c>
      <c r="AT18" s="61">
        <f t="shared" si="19"/>
        <v>0</v>
      </c>
      <c r="AU18" s="62">
        <f t="shared" si="20"/>
        <v>0</v>
      </c>
      <c r="AV18" s="63">
        <f t="shared" si="21"/>
        <v>4</v>
      </c>
      <c r="AW18" s="52"/>
      <c r="AX18" s="53"/>
      <c r="AY18" s="53"/>
      <c r="AZ18" s="53"/>
      <c r="BA18" s="53"/>
      <c r="BB18" s="66">
        <f t="shared" si="22"/>
        <v>0</v>
      </c>
      <c r="BC18" s="67">
        <f t="shared" si="23"/>
        <v>0</v>
      </c>
      <c r="BD18" s="67">
        <f t="shared" si="24"/>
        <v>0</v>
      </c>
      <c r="BE18" s="67">
        <f t="shared" si="25"/>
        <v>0</v>
      </c>
      <c r="BF18" s="67">
        <f t="shared" si="26"/>
        <v>0</v>
      </c>
      <c r="BG18" s="68">
        <f t="shared" si="27"/>
        <v>0</v>
      </c>
      <c r="BH18" s="69">
        <f t="shared" si="28"/>
        <v>0</v>
      </c>
      <c r="BI18" s="70">
        <f t="shared" si="29"/>
        <v>4</v>
      </c>
      <c r="BJ18" s="71">
        <v>0</v>
      </c>
      <c r="BK18" s="72">
        <f t="shared" si="30"/>
        <v>0</v>
      </c>
      <c r="BL18" s="73">
        <f t="shared" si="31"/>
        <v>0</v>
      </c>
      <c r="BM18" s="74">
        <f t="shared" si="32"/>
        <v>0</v>
      </c>
      <c r="BN18" s="73">
        <f t="shared" si="33"/>
        <v>0</v>
      </c>
      <c r="BO18" s="73">
        <f t="shared" si="34"/>
        <v>0</v>
      </c>
      <c r="BP18" s="73">
        <f t="shared" si="35"/>
        <v>0</v>
      </c>
      <c r="BQ18" s="75">
        <f>IF(ISNA(VLOOKUP(H18,UitslagFig!$C$5:$K$251,1,FALSE)),"",VLOOKUP(H18,UitslagFig!$C$5:$K$251,9,FALSE))</f>
        <v>0</v>
      </c>
      <c r="BR18" s="75">
        <f>IF(ISNA(VLOOKUP(K18,UitslagFig!$C$5:$K$251,1,FALSE)),"",VLOOKUP(K18,UitslagFig!$C$5:$K$251,9,FALSE))</f>
        <v>0</v>
      </c>
      <c r="BS18" s="75">
        <f>IF(ISNA(VLOOKUP(N18,UitslagFig!$C$5:$K$251,1,FALSE)),"",VLOOKUP(N18,UitslagFig!$C$5:$K$251,9,FALSE))</f>
        <v>0</v>
      </c>
      <c r="BT18" s="76">
        <f t="shared" si="36"/>
      </c>
      <c r="BU18" s="76">
        <f t="shared" si="37"/>
      </c>
      <c r="BV18" s="76">
        <f t="shared" si="38"/>
      </c>
      <c r="BW18" s="76">
        <f t="shared" si="39"/>
        <v>0</v>
      </c>
      <c r="BX18" s="76">
        <f t="shared" si="40"/>
        <v>0</v>
      </c>
      <c r="BY18" s="77">
        <f t="shared" si="41"/>
      </c>
      <c r="BZ18" s="77">
        <f t="shared" si="42"/>
        <v>0</v>
      </c>
      <c r="CA18" s="78">
        <f t="shared" si="43"/>
        <v>0</v>
      </c>
      <c r="CB18" s="79">
        <f t="shared" si="44"/>
      </c>
    </row>
    <row r="19" spans="1:80" ht="12.75">
      <c r="A19" s="8">
        <v>15</v>
      </c>
      <c r="B19" s="24">
        <f t="shared" si="0"/>
        <v>4</v>
      </c>
      <c r="C19" s="44">
        <f t="shared" si="1"/>
        <v>0</v>
      </c>
      <c r="D19" s="45">
        <f>IF(ISNA(VLOOKUP($H19,UitslagFig!$C$5:$K$251,1,FALSE)),"",VLOOKUP($H19,UitslagFig!$C$5:$K$251,3,FALSE))</f>
        <v>0</v>
      </c>
      <c r="E19" s="48"/>
      <c r="F19" s="48"/>
      <c r="G19" s="249">
        <f>IF(ISNA(VLOOKUP($H19,UitslagFig!$C$5:$K$251,1,FALSE)),"",VLOOKUP($H19,UitslagFig!$C$5:$K$251,2,FALSE))</f>
        <v>0</v>
      </c>
      <c r="H19" s="48"/>
      <c r="I19" s="47"/>
      <c r="J19" s="45">
        <f>IF(ISNA(VLOOKUP($K19,UitslagFig!$C$5:$K$251,1,FALSE)),"",VLOOKUP($K19,UitslagFig!$C$5:$K$251,2,FALSE))</f>
        <v>0</v>
      </c>
      <c r="K19" s="48"/>
      <c r="L19" s="47"/>
      <c r="M19" s="48">
        <f>IF(ISNA(VLOOKUP($N19,UitslagFig!$C$5:$N$250,1,FALSE)),"",VLOOKUP($N19,UitslagFig!$C$5:$N$250,2,FALSE))</f>
        <v>0</v>
      </c>
      <c r="N19" s="48"/>
      <c r="O19" s="47"/>
      <c r="P19" s="250">
        <f t="shared" si="2"/>
        <v>0</v>
      </c>
      <c r="Q19" s="48">
        <f>IF(ISNA(VLOOKUP($H19,UitslagFig!$C$5:$K$251,1,FALSE)),"",VLOOKUP($H19,UitslagFig!$C$5:$K$251,5,FALSE))</f>
        <v>0</v>
      </c>
      <c r="R19" s="49"/>
      <c r="S19" s="50">
        <v>0</v>
      </c>
      <c r="T19" s="24">
        <f t="shared" si="3"/>
      </c>
      <c r="U19" s="51">
        <f t="shared" si="4"/>
        <v>0</v>
      </c>
      <c r="V19" s="24">
        <f t="shared" si="5"/>
      </c>
      <c r="W19" s="52"/>
      <c r="X19" s="53"/>
      <c r="Y19" s="53"/>
      <c r="Z19" s="53"/>
      <c r="AA19" s="53"/>
      <c r="AB19" s="54">
        <f t="shared" si="6"/>
        <v>0</v>
      </c>
      <c r="AC19" s="55">
        <f t="shared" si="7"/>
        <v>0</v>
      </c>
      <c r="AD19" s="55">
        <f t="shared" si="8"/>
        <v>0</v>
      </c>
      <c r="AE19" s="55">
        <f t="shared" si="9"/>
        <v>0</v>
      </c>
      <c r="AF19" s="55">
        <f t="shared" si="10"/>
        <v>0</v>
      </c>
      <c r="AG19" s="56">
        <f t="shared" si="11"/>
        <v>0</v>
      </c>
      <c r="AH19" s="57">
        <f t="shared" si="12"/>
        <v>0</v>
      </c>
      <c r="AI19" s="58">
        <f t="shared" si="13"/>
        <v>4</v>
      </c>
      <c r="AJ19" s="52"/>
      <c r="AK19" s="53"/>
      <c r="AL19" s="53"/>
      <c r="AM19" s="53"/>
      <c r="AN19" s="53"/>
      <c r="AO19" s="59">
        <f t="shared" si="14"/>
        <v>0</v>
      </c>
      <c r="AP19" s="60">
        <f t="shared" si="15"/>
        <v>0</v>
      </c>
      <c r="AQ19" s="60">
        <f t="shared" si="16"/>
        <v>0</v>
      </c>
      <c r="AR19" s="60">
        <f t="shared" si="17"/>
        <v>0</v>
      </c>
      <c r="AS19" s="60">
        <f t="shared" si="18"/>
        <v>0</v>
      </c>
      <c r="AT19" s="61">
        <f t="shared" si="19"/>
        <v>0</v>
      </c>
      <c r="AU19" s="62">
        <f t="shared" si="20"/>
        <v>0</v>
      </c>
      <c r="AV19" s="63">
        <f t="shared" si="21"/>
        <v>4</v>
      </c>
      <c r="AW19" s="52"/>
      <c r="AX19" s="53"/>
      <c r="AY19" s="53"/>
      <c r="AZ19" s="53"/>
      <c r="BA19" s="53"/>
      <c r="BB19" s="66">
        <f t="shared" si="22"/>
        <v>0</v>
      </c>
      <c r="BC19" s="67">
        <f t="shared" si="23"/>
        <v>0</v>
      </c>
      <c r="BD19" s="67">
        <f t="shared" si="24"/>
        <v>0</v>
      </c>
      <c r="BE19" s="67">
        <f t="shared" si="25"/>
        <v>0</v>
      </c>
      <c r="BF19" s="67">
        <f t="shared" si="26"/>
        <v>0</v>
      </c>
      <c r="BG19" s="68">
        <f t="shared" si="27"/>
        <v>0</v>
      </c>
      <c r="BH19" s="69">
        <f t="shared" si="28"/>
        <v>0</v>
      </c>
      <c r="BI19" s="70">
        <f t="shared" si="29"/>
        <v>4</v>
      </c>
      <c r="BJ19" s="71">
        <v>0</v>
      </c>
      <c r="BK19" s="72">
        <f t="shared" si="30"/>
        <v>0</v>
      </c>
      <c r="BL19" s="73">
        <f t="shared" si="31"/>
        <v>0</v>
      </c>
      <c r="BM19" s="74">
        <f t="shared" si="32"/>
        <v>0</v>
      </c>
      <c r="BN19" s="73">
        <f t="shared" si="33"/>
        <v>0</v>
      </c>
      <c r="BO19" s="73">
        <f t="shared" si="34"/>
        <v>0</v>
      </c>
      <c r="BP19" s="73">
        <f t="shared" si="35"/>
        <v>0</v>
      </c>
      <c r="BQ19" s="75">
        <f>IF(ISNA(VLOOKUP(H19,UitslagFig!$C$5:$K$251,1,FALSE)),"",VLOOKUP(H19,UitslagFig!$C$5:$K$251,9,FALSE))</f>
        <v>0</v>
      </c>
      <c r="BR19" s="75">
        <f>IF(ISNA(VLOOKUP(K19,UitslagFig!$C$5:$K$251,1,FALSE)),"",VLOOKUP(K19,UitslagFig!$C$5:$K$251,9,FALSE))</f>
        <v>0</v>
      </c>
      <c r="BS19" s="75">
        <f>IF(ISNA(VLOOKUP(N19,UitslagFig!$C$5:$K$251,1,FALSE)),"",VLOOKUP(N19,UitslagFig!$C$5:$K$251,9,FALSE))</f>
        <v>0</v>
      </c>
      <c r="BT19" s="76">
        <f t="shared" si="36"/>
      </c>
      <c r="BU19" s="76">
        <f t="shared" si="37"/>
      </c>
      <c r="BV19" s="76">
        <f t="shared" si="38"/>
      </c>
      <c r="BW19" s="76">
        <f t="shared" si="39"/>
        <v>0</v>
      </c>
      <c r="BX19" s="76">
        <f t="shared" si="40"/>
        <v>0</v>
      </c>
      <c r="BY19" s="77">
        <f t="shared" si="41"/>
      </c>
      <c r="BZ19" s="77">
        <f t="shared" si="42"/>
        <v>0</v>
      </c>
      <c r="CA19" s="78">
        <f t="shared" si="43"/>
        <v>0</v>
      </c>
      <c r="CB19" s="79">
        <f t="shared" si="44"/>
      </c>
    </row>
    <row r="20" spans="1:80" ht="12.75">
      <c r="A20" s="8">
        <v>16</v>
      </c>
      <c r="B20" s="24">
        <f t="shared" si="0"/>
        <v>4</v>
      </c>
      <c r="C20" s="44">
        <f t="shared" si="1"/>
        <v>0</v>
      </c>
      <c r="D20" s="45">
        <f>IF(ISNA(VLOOKUP($H20,UitslagFig!$C$5:$K$251,1,FALSE)),"",VLOOKUP($H20,UitslagFig!$C$5:$K$251,3,FALSE))</f>
        <v>0</v>
      </c>
      <c r="E20" s="48"/>
      <c r="F20" s="48"/>
      <c r="G20" s="249">
        <f>IF(ISNA(VLOOKUP($H20,UitslagFig!$C$5:$K$251,1,FALSE)),"",VLOOKUP($H20,UitslagFig!$C$5:$K$251,2,FALSE))</f>
        <v>0</v>
      </c>
      <c r="H20" s="48"/>
      <c r="I20" s="47"/>
      <c r="J20" s="45">
        <f>IF(ISNA(VLOOKUP($K20,UitslagFig!$C$5:$K$251,1,FALSE)),"",VLOOKUP($K20,UitslagFig!$C$5:$K$251,2,FALSE))</f>
        <v>0</v>
      </c>
      <c r="K20" s="48"/>
      <c r="L20" s="47"/>
      <c r="M20" s="48">
        <f>IF(ISNA(VLOOKUP($N20,UitslagFig!$C$5:$N$250,1,FALSE)),"",VLOOKUP($N20,UitslagFig!$C$5:$N$250,2,FALSE))</f>
        <v>0</v>
      </c>
      <c r="N20" s="48"/>
      <c r="O20" s="47"/>
      <c r="P20" s="250">
        <f t="shared" si="2"/>
        <v>0</v>
      </c>
      <c r="Q20" s="48">
        <f>IF(ISNA(VLOOKUP($H20,UitslagFig!$C$5:$K$251,1,FALSE)),"",VLOOKUP($H20,UitslagFig!$C$5:$K$251,5,FALSE))</f>
        <v>0</v>
      </c>
      <c r="R20" s="49"/>
      <c r="S20" s="50">
        <v>0</v>
      </c>
      <c r="T20" s="24">
        <f t="shared" si="3"/>
      </c>
      <c r="U20" s="51">
        <f t="shared" si="4"/>
        <v>0</v>
      </c>
      <c r="V20" s="24">
        <f t="shared" si="5"/>
      </c>
      <c r="W20" s="52"/>
      <c r="X20" s="53"/>
      <c r="Y20" s="53"/>
      <c r="Z20" s="53"/>
      <c r="AA20" s="53"/>
      <c r="AB20" s="54">
        <f t="shared" si="6"/>
        <v>0</v>
      </c>
      <c r="AC20" s="55">
        <f t="shared" si="7"/>
        <v>0</v>
      </c>
      <c r="AD20" s="55">
        <f t="shared" si="8"/>
        <v>0</v>
      </c>
      <c r="AE20" s="55">
        <f t="shared" si="9"/>
        <v>0</v>
      </c>
      <c r="AF20" s="55">
        <f t="shared" si="10"/>
        <v>0</v>
      </c>
      <c r="AG20" s="56">
        <f t="shared" si="11"/>
        <v>0</v>
      </c>
      <c r="AH20" s="57">
        <f t="shared" si="12"/>
        <v>0</v>
      </c>
      <c r="AI20" s="58">
        <f t="shared" si="13"/>
        <v>4</v>
      </c>
      <c r="AJ20" s="52"/>
      <c r="AK20" s="53"/>
      <c r="AL20" s="53"/>
      <c r="AM20" s="53"/>
      <c r="AN20" s="53"/>
      <c r="AO20" s="59">
        <f t="shared" si="14"/>
        <v>0</v>
      </c>
      <c r="AP20" s="60">
        <f t="shared" si="15"/>
        <v>0</v>
      </c>
      <c r="AQ20" s="60">
        <f t="shared" si="16"/>
        <v>0</v>
      </c>
      <c r="AR20" s="60">
        <f t="shared" si="17"/>
        <v>0</v>
      </c>
      <c r="AS20" s="60">
        <f t="shared" si="18"/>
        <v>0</v>
      </c>
      <c r="AT20" s="61">
        <f t="shared" si="19"/>
        <v>0</v>
      </c>
      <c r="AU20" s="62">
        <f t="shared" si="20"/>
        <v>0</v>
      </c>
      <c r="AV20" s="63">
        <f t="shared" si="21"/>
        <v>4</v>
      </c>
      <c r="AW20" s="52"/>
      <c r="AX20" s="53"/>
      <c r="AY20" s="53"/>
      <c r="AZ20" s="53"/>
      <c r="BA20" s="53"/>
      <c r="BB20" s="66">
        <f t="shared" si="22"/>
        <v>0</v>
      </c>
      <c r="BC20" s="67">
        <f t="shared" si="23"/>
        <v>0</v>
      </c>
      <c r="BD20" s="67">
        <f t="shared" si="24"/>
        <v>0</v>
      </c>
      <c r="BE20" s="67">
        <f t="shared" si="25"/>
        <v>0</v>
      </c>
      <c r="BF20" s="67">
        <f t="shared" si="26"/>
        <v>0</v>
      </c>
      <c r="BG20" s="68">
        <f t="shared" si="27"/>
        <v>0</v>
      </c>
      <c r="BH20" s="69">
        <f t="shared" si="28"/>
        <v>0</v>
      </c>
      <c r="BI20" s="70">
        <f t="shared" si="29"/>
        <v>4</v>
      </c>
      <c r="BJ20" s="71">
        <v>0</v>
      </c>
      <c r="BK20" s="72">
        <f t="shared" si="30"/>
        <v>0</v>
      </c>
      <c r="BL20" s="73">
        <f t="shared" si="31"/>
        <v>0</v>
      </c>
      <c r="BM20" s="74">
        <f t="shared" si="32"/>
        <v>0</v>
      </c>
      <c r="BN20" s="73">
        <f t="shared" si="33"/>
        <v>0</v>
      </c>
      <c r="BO20" s="73">
        <f t="shared" si="34"/>
        <v>0</v>
      </c>
      <c r="BP20" s="73">
        <f t="shared" si="35"/>
        <v>0</v>
      </c>
      <c r="BQ20" s="75">
        <f>IF(ISNA(VLOOKUP(H20,UitslagFig!$C$5:$K$251,1,FALSE)),"",VLOOKUP(H20,UitslagFig!$C$5:$K$251,9,FALSE))</f>
        <v>0</v>
      </c>
      <c r="BR20" s="75">
        <f>IF(ISNA(VLOOKUP(K20,UitslagFig!$C$5:$K$251,1,FALSE)),"",VLOOKUP(K20,UitslagFig!$C$5:$K$251,9,FALSE))</f>
        <v>0</v>
      </c>
      <c r="BS20" s="75">
        <f>IF(ISNA(VLOOKUP(N20,UitslagFig!$C$5:$K$251,1,FALSE)),"",VLOOKUP(N20,UitslagFig!$C$5:$K$251,9,FALSE))</f>
        <v>0</v>
      </c>
      <c r="BT20" s="76">
        <f t="shared" si="36"/>
      </c>
      <c r="BU20" s="76">
        <f t="shared" si="37"/>
      </c>
      <c r="BV20" s="76">
        <f t="shared" si="38"/>
      </c>
      <c r="BW20" s="76">
        <f t="shared" si="39"/>
        <v>0</v>
      </c>
      <c r="BX20" s="76">
        <f t="shared" si="40"/>
        <v>0</v>
      </c>
      <c r="BY20" s="77">
        <f t="shared" si="41"/>
      </c>
      <c r="BZ20" s="77">
        <f t="shared" si="42"/>
        <v>0</v>
      </c>
      <c r="CA20" s="78">
        <f t="shared" si="43"/>
        <v>0</v>
      </c>
      <c r="CB20" s="79">
        <f t="shared" si="44"/>
      </c>
    </row>
    <row r="21" spans="1:80" ht="12.75">
      <c r="A21" s="8">
        <v>17</v>
      </c>
      <c r="B21" s="24">
        <f t="shared" si="0"/>
        <v>4</v>
      </c>
      <c r="C21" s="44">
        <f t="shared" si="1"/>
        <v>0</v>
      </c>
      <c r="D21" s="45">
        <f>IF(ISNA(VLOOKUP($H21,UitslagFig!$C$5:$K$251,1,FALSE)),"",VLOOKUP($H21,UitslagFig!$C$5:$K$251,3,FALSE))</f>
        <v>0</v>
      </c>
      <c r="E21" s="48"/>
      <c r="F21" s="48"/>
      <c r="G21" s="249">
        <f>IF(ISNA(VLOOKUP($H21,UitslagFig!$C$5:$K$251,1,FALSE)),"",VLOOKUP($H21,UitslagFig!$C$5:$K$251,2,FALSE))</f>
        <v>0</v>
      </c>
      <c r="H21" s="48"/>
      <c r="I21" s="47"/>
      <c r="J21" s="45">
        <f>IF(ISNA(VLOOKUP($K21,UitslagFig!$C$5:$K$251,1,FALSE)),"",VLOOKUP($K21,UitslagFig!$C$5:$K$251,2,FALSE))</f>
        <v>0</v>
      </c>
      <c r="K21" s="48"/>
      <c r="L21" s="47"/>
      <c r="M21" s="48">
        <f>IF(ISNA(VLOOKUP($N21,UitslagFig!$C$5:$N$250,1,FALSE)),"",VLOOKUP($N21,UitslagFig!$C$5:$N$250,2,FALSE))</f>
        <v>0</v>
      </c>
      <c r="N21" s="48"/>
      <c r="O21" s="47"/>
      <c r="P21" s="250">
        <f t="shared" si="2"/>
        <v>0</v>
      </c>
      <c r="Q21" s="48">
        <f>IF(ISNA(VLOOKUP($H21,UitslagFig!$C$5:$K$251,1,FALSE)),"",VLOOKUP($H21,UitslagFig!$C$5:$K$251,5,FALSE))</f>
        <v>0</v>
      </c>
      <c r="R21" s="49"/>
      <c r="S21" s="50">
        <v>0</v>
      </c>
      <c r="T21" s="24">
        <f t="shared" si="3"/>
      </c>
      <c r="U21" s="51">
        <f t="shared" si="4"/>
        <v>0</v>
      </c>
      <c r="V21" s="24">
        <f t="shared" si="5"/>
      </c>
      <c r="W21" s="52"/>
      <c r="X21" s="53"/>
      <c r="Y21" s="53"/>
      <c r="Z21" s="53"/>
      <c r="AA21" s="53"/>
      <c r="AB21" s="54">
        <f t="shared" si="6"/>
        <v>0</v>
      </c>
      <c r="AC21" s="55">
        <f t="shared" si="7"/>
        <v>0</v>
      </c>
      <c r="AD21" s="55">
        <f t="shared" si="8"/>
        <v>0</v>
      </c>
      <c r="AE21" s="55">
        <f t="shared" si="9"/>
        <v>0</v>
      </c>
      <c r="AF21" s="55">
        <f t="shared" si="10"/>
        <v>0</v>
      </c>
      <c r="AG21" s="56">
        <f t="shared" si="11"/>
        <v>0</v>
      </c>
      <c r="AH21" s="57">
        <f t="shared" si="12"/>
        <v>0</v>
      </c>
      <c r="AI21" s="58">
        <f t="shared" si="13"/>
        <v>4</v>
      </c>
      <c r="AJ21" s="52"/>
      <c r="AK21" s="53"/>
      <c r="AL21" s="53"/>
      <c r="AM21" s="53"/>
      <c r="AN21" s="53"/>
      <c r="AO21" s="59">
        <f t="shared" si="14"/>
        <v>0</v>
      </c>
      <c r="AP21" s="60">
        <f t="shared" si="15"/>
        <v>0</v>
      </c>
      <c r="AQ21" s="60">
        <f t="shared" si="16"/>
        <v>0</v>
      </c>
      <c r="AR21" s="60">
        <f t="shared" si="17"/>
        <v>0</v>
      </c>
      <c r="AS21" s="60">
        <f t="shared" si="18"/>
        <v>0</v>
      </c>
      <c r="AT21" s="61">
        <f t="shared" si="19"/>
        <v>0</v>
      </c>
      <c r="AU21" s="62">
        <f t="shared" si="20"/>
        <v>0</v>
      </c>
      <c r="AV21" s="63">
        <f t="shared" si="21"/>
        <v>4</v>
      </c>
      <c r="AW21" s="52"/>
      <c r="AX21" s="53"/>
      <c r="AY21" s="53"/>
      <c r="AZ21" s="53"/>
      <c r="BA21" s="53"/>
      <c r="BB21" s="66">
        <f t="shared" si="22"/>
        <v>0</v>
      </c>
      <c r="BC21" s="67">
        <f t="shared" si="23"/>
        <v>0</v>
      </c>
      <c r="BD21" s="67">
        <f t="shared" si="24"/>
        <v>0</v>
      </c>
      <c r="BE21" s="67">
        <f t="shared" si="25"/>
        <v>0</v>
      </c>
      <c r="BF21" s="67">
        <f t="shared" si="26"/>
        <v>0</v>
      </c>
      <c r="BG21" s="68">
        <f t="shared" si="27"/>
        <v>0</v>
      </c>
      <c r="BH21" s="69">
        <f t="shared" si="28"/>
        <v>0</v>
      </c>
      <c r="BI21" s="70">
        <f t="shared" si="29"/>
        <v>4</v>
      </c>
      <c r="BJ21" s="71">
        <v>0</v>
      </c>
      <c r="BK21" s="72">
        <f t="shared" si="30"/>
        <v>0</v>
      </c>
      <c r="BL21" s="73">
        <f t="shared" si="31"/>
        <v>0</v>
      </c>
      <c r="BM21" s="74">
        <f t="shared" si="32"/>
        <v>0</v>
      </c>
      <c r="BN21" s="73">
        <f t="shared" si="33"/>
        <v>0</v>
      </c>
      <c r="BO21" s="73">
        <f t="shared" si="34"/>
        <v>0</v>
      </c>
      <c r="BP21" s="73">
        <f t="shared" si="35"/>
        <v>0</v>
      </c>
      <c r="BQ21" s="75">
        <f>IF(ISNA(VLOOKUP(H21,UitslagFig!$C$5:$K$251,1,FALSE)),"",VLOOKUP(H21,UitslagFig!$C$5:$K$251,9,FALSE))</f>
        <v>0</v>
      </c>
      <c r="BR21" s="75">
        <f>IF(ISNA(VLOOKUP(K21,UitslagFig!$C$5:$K$251,1,FALSE)),"",VLOOKUP(K21,UitslagFig!$C$5:$K$251,9,FALSE))</f>
        <v>0</v>
      </c>
      <c r="BS21" s="75">
        <f>IF(ISNA(VLOOKUP(N21,UitslagFig!$C$5:$K$251,1,FALSE)),"",VLOOKUP(N21,UitslagFig!$C$5:$K$251,9,FALSE))</f>
        <v>0</v>
      </c>
      <c r="BT21" s="76">
        <f t="shared" si="36"/>
      </c>
      <c r="BU21" s="76">
        <f t="shared" si="37"/>
      </c>
      <c r="BV21" s="76">
        <f t="shared" si="38"/>
      </c>
      <c r="BW21" s="76">
        <f t="shared" si="39"/>
        <v>0</v>
      </c>
      <c r="BX21" s="76">
        <f t="shared" si="40"/>
        <v>0</v>
      </c>
      <c r="BY21" s="77">
        <f t="shared" si="41"/>
      </c>
      <c r="BZ21" s="77">
        <f t="shared" si="42"/>
        <v>0</v>
      </c>
      <c r="CA21" s="78">
        <f t="shared" si="43"/>
        <v>0</v>
      </c>
      <c r="CB21" s="79">
        <f t="shared" si="44"/>
      </c>
    </row>
    <row r="22" spans="1:80" ht="12.75">
      <c r="A22" s="8">
        <v>18</v>
      </c>
      <c r="B22" s="24">
        <f t="shared" si="0"/>
        <v>4</v>
      </c>
      <c r="C22" s="44">
        <f t="shared" si="1"/>
        <v>0</v>
      </c>
      <c r="D22" s="45">
        <f>IF(ISNA(VLOOKUP($H22,UitslagFig!$C$5:$K$251,1,FALSE)),"",VLOOKUP($H22,UitslagFig!$C$5:$K$251,3,FALSE))</f>
        <v>0</v>
      </c>
      <c r="E22" s="48"/>
      <c r="F22" s="48"/>
      <c r="G22" s="249">
        <f>IF(ISNA(VLOOKUP($H22,UitslagFig!$C$5:$K$251,1,FALSE)),"",VLOOKUP($H22,UitslagFig!$C$5:$K$251,2,FALSE))</f>
        <v>0</v>
      </c>
      <c r="H22" s="48"/>
      <c r="I22" s="47"/>
      <c r="J22" s="45">
        <f>IF(ISNA(VLOOKUP($K22,UitslagFig!$C$5:$K$251,1,FALSE)),"",VLOOKUP($K22,UitslagFig!$C$5:$K$251,2,FALSE))</f>
        <v>0</v>
      </c>
      <c r="K22" s="48"/>
      <c r="L22" s="47"/>
      <c r="M22" s="48">
        <f>IF(ISNA(VLOOKUP($N22,UitslagFig!$C$5:$N$250,1,FALSE)),"",VLOOKUP($N22,UitslagFig!$C$5:$N$250,2,FALSE))</f>
        <v>0</v>
      </c>
      <c r="N22" s="48"/>
      <c r="O22" s="47"/>
      <c r="P22" s="250">
        <f t="shared" si="2"/>
        <v>0</v>
      </c>
      <c r="Q22" s="48">
        <f>IF(ISNA(VLOOKUP($H22,UitslagFig!$C$5:$K$251,1,FALSE)),"",VLOOKUP($H22,UitslagFig!$C$5:$K$251,5,FALSE))</f>
        <v>0</v>
      </c>
      <c r="R22" s="49"/>
      <c r="S22" s="50">
        <v>0</v>
      </c>
      <c r="T22" s="24">
        <f t="shared" si="3"/>
      </c>
      <c r="U22" s="51">
        <f t="shared" si="4"/>
        <v>0</v>
      </c>
      <c r="V22" s="24">
        <f t="shared" si="5"/>
      </c>
      <c r="W22" s="52"/>
      <c r="X22" s="53"/>
      <c r="Y22" s="53"/>
      <c r="Z22" s="53"/>
      <c r="AA22" s="53"/>
      <c r="AB22" s="54">
        <f t="shared" si="6"/>
        <v>0</v>
      </c>
      <c r="AC22" s="55">
        <f t="shared" si="7"/>
        <v>0</v>
      </c>
      <c r="AD22" s="55">
        <f t="shared" si="8"/>
        <v>0</v>
      </c>
      <c r="AE22" s="55">
        <f t="shared" si="9"/>
        <v>0</v>
      </c>
      <c r="AF22" s="55">
        <f t="shared" si="10"/>
        <v>0</v>
      </c>
      <c r="AG22" s="56">
        <f t="shared" si="11"/>
        <v>0</v>
      </c>
      <c r="AH22" s="57">
        <f t="shared" si="12"/>
        <v>0</v>
      </c>
      <c r="AI22" s="58">
        <f t="shared" si="13"/>
        <v>4</v>
      </c>
      <c r="AJ22" s="52"/>
      <c r="AK22" s="53"/>
      <c r="AL22" s="53"/>
      <c r="AM22" s="53"/>
      <c r="AN22" s="53"/>
      <c r="AO22" s="59">
        <f t="shared" si="14"/>
        <v>0</v>
      </c>
      <c r="AP22" s="60">
        <f t="shared" si="15"/>
        <v>0</v>
      </c>
      <c r="AQ22" s="60">
        <f t="shared" si="16"/>
        <v>0</v>
      </c>
      <c r="AR22" s="60">
        <f t="shared" si="17"/>
        <v>0</v>
      </c>
      <c r="AS22" s="60">
        <f t="shared" si="18"/>
        <v>0</v>
      </c>
      <c r="AT22" s="61">
        <f t="shared" si="19"/>
        <v>0</v>
      </c>
      <c r="AU22" s="62">
        <f t="shared" si="20"/>
        <v>0</v>
      </c>
      <c r="AV22" s="63">
        <f t="shared" si="21"/>
        <v>4</v>
      </c>
      <c r="AW22" s="52"/>
      <c r="AX22" s="53"/>
      <c r="AY22" s="53"/>
      <c r="AZ22" s="53"/>
      <c r="BA22" s="53"/>
      <c r="BB22" s="66">
        <f t="shared" si="22"/>
        <v>0</v>
      </c>
      <c r="BC22" s="67">
        <f t="shared" si="23"/>
        <v>0</v>
      </c>
      <c r="BD22" s="67">
        <f t="shared" si="24"/>
        <v>0</v>
      </c>
      <c r="BE22" s="67">
        <f t="shared" si="25"/>
        <v>0</v>
      </c>
      <c r="BF22" s="67">
        <f t="shared" si="26"/>
        <v>0</v>
      </c>
      <c r="BG22" s="68">
        <f t="shared" si="27"/>
        <v>0</v>
      </c>
      <c r="BH22" s="69">
        <f t="shared" si="28"/>
        <v>0</v>
      </c>
      <c r="BI22" s="70">
        <f t="shared" si="29"/>
        <v>4</v>
      </c>
      <c r="BJ22" s="71">
        <v>0</v>
      </c>
      <c r="BK22" s="72">
        <f t="shared" si="30"/>
        <v>0</v>
      </c>
      <c r="BL22" s="73">
        <f t="shared" si="31"/>
        <v>0</v>
      </c>
      <c r="BM22" s="74">
        <f t="shared" si="32"/>
        <v>0</v>
      </c>
      <c r="BN22" s="73">
        <f t="shared" si="33"/>
        <v>0</v>
      </c>
      <c r="BO22" s="73">
        <f t="shared" si="34"/>
        <v>0</v>
      </c>
      <c r="BP22" s="73">
        <f t="shared" si="35"/>
        <v>0</v>
      </c>
      <c r="BQ22" s="75">
        <f>IF(ISNA(VLOOKUP(H22,UitslagFig!$C$5:$K$251,1,FALSE)),"",VLOOKUP(H22,UitslagFig!$C$5:$K$251,9,FALSE))</f>
        <v>0</v>
      </c>
      <c r="BR22" s="75">
        <f>IF(ISNA(VLOOKUP(K22,UitslagFig!$C$5:$K$251,1,FALSE)),"",VLOOKUP(K22,UitslagFig!$C$5:$K$251,9,FALSE))</f>
        <v>0</v>
      </c>
      <c r="BS22" s="75">
        <f>IF(ISNA(VLOOKUP(N22,UitslagFig!$C$5:$K$251,1,FALSE)),"",VLOOKUP(N22,UitslagFig!$C$5:$K$251,9,FALSE))</f>
        <v>0</v>
      </c>
      <c r="BT22" s="76">
        <f t="shared" si="36"/>
      </c>
      <c r="BU22" s="76">
        <f t="shared" si="37"/>
      </c>
      <c r="BV22" s="76">
        <f t="shared" si="38"/>
      </c>
      <c r="BW22" s="76">
        <f t="shared" si="39"/>
        <v>0</v>
      </c>
      <c r="BX22" s="76">
        <f t="shared" si="40"/>
        <v>0</v>
      </c>
      <c r="BY22" s="77">
        <f t="shared" si="41"/>
      </c>
      <c r="BZ22" s="77">
        <f t="shared" si="42"/>
        <v>0</v>
      </c>
      <c r="CA22" s="78">
        <f t="shared" si="43"/>
        <v>0</v>
      </c>
      <c r="CB22" s="79">
        <f t="shared" si="44"/>
      </c>
    </row>
    <row r="23" spans="1:80" ht="12.75">
      <c r="A23" s="8">
        <v>19</v>
      </c>
      <c r="B23" s="24">
        <f t="shared" si="0"/>
        <v>4</v>
      </c>
      <c r="C23" s="44">
        <f t="shared" si="1"/>
        <v>0</v>
      </c>
      <c r="D23" s="45">
        <f>IF(ISNA(VLOOKUP($H23,UitslagFig!$C$5:$K$251,1,FALSE)),"",VLOOKUP($H23,UitslagFig!$C$5:$K$251,3,FALSE))</f>
        <v>0</v>
      </c>
      <c r="E23" s="48"/>
      <c r="F23" s="48"/>
      <c r="G23" s="249">
        <f>IF(ISNA(VLOOKUP($H23,UitslagFig!$C$5:$K$251,1,FALSE)),"",VLOOKUP($H23,UitslagFig!$C$5:$K$251,2,FALSE))</f>
        <v>0</v>
      </c>
      <c r="H23" s="48"/>
      <c r="I23" s="47"/>
      <c r="J23" s="45">
        <f>IF(ISNA(VLOOKUP($K23,UitslagFig!$C$5:$K$251,1,FALSE)),"",VLOOKUP($K23,UitslagFig!$C$5:$K$251,2,FALSE))</f>
        <v>0</v>
      </c>
      <c r="K23" s="48"/>
      <c r="L23" s="47"/>
      <c r="M23" s="48">
        <f>IF(ISNA(VLOOKUP($N23,UitslagFig!$C$5:$N$250,1,FALSE)),"",VLOOKUP($N23,UitslagFig!$C$5:$N$250,2,FALSE))</f>
        <v>0</v>
      </c>
      <c r="N23" s="48"/>
      <c r="O23" s="47"/>
      <c r="P23" s="250">
        <f t="shared" si="2"/>
        <v>0</v>
      </c>
      <c r="Q23" s="48">
        <f>IF(ISNA(VLOOKUP($H23,UitslagFig!$C$5:$K$251,1,FALSE)),"",VLOOKUP($H23,UitslagFig!$C$5:$K$251,5,FALSE))</f>
        <v>0</v>
      </c>
      <c r="R23" s="49"/>
      <c r="S23" s="50">
        <v>0</v>
      </c>
      <c r="T23" s="24">
        <f t="shared" si="3"/>
      </c>
      <c r="U23" s="51">
        <f t="shared" si="4"/>
        <v>0</v>
      </c>
      <c r="V23" s="24">
        <f t="shared" si="5"/>
      </c>
      <c r="W23" s="52"/>
      <c r="X23" s="53"/>
      <c r="Y23" s="53"/>
      <c r="Z23" s="53"/>
      <c r="AA23" s="53"/>
      <c r="AB23" s="54">
        <f t="shared" si="6"/>
        <v>0</v>
      </c>
      <c r="AC23" s="55">
        <f t="shared" si="7"/>
        <v>0</v>
      </c>
      <c r="AD23" s="55">
        <f t="shared" si="8"/>
        <v>0</v>
      </c>
      <c r="AE23" s="55">
        <f t="shared" si="9"/>
        <v>0</v>
      </c>
      <c r="AF23" s="55">
        <f t="shared" si="10"/>
        <v>0</v>
      </c>
      <c r="AG23" s="56">
        <f t="shared" si="11"/>
        <v>0</v>
      </c>
      <c r="AH23" s="57">
        <f t="shared" si="12"/>
        <v>0</v>
      </c>
      <c r="AI23" s="58">
        <f t="shared" si="13"/>
        <v>4</v>
      </c>
      <c r="AJ23" s="52"/>
      <c r="AK23" s="53"/>
      <c r="AL23" s="53"/>
      <c r="AM23" s="53"/>
      <c r="AN23" s="53"/>
      <c r="AO23" s="59">
        <f t="shared" si="14"/>
        <v>0</v>
      </c>
      <c r="AP23" s="60">
        <f t="shared" si="15"/>
        <v>0</v>
      </c>
      <c r="AQ23" s="60">
        <f t="shared" si="16"/>
        <v>0</v>
      </c>
      <c r="AR23" s="60">
        <f t="shared" si="17"/>
        <v>0</v>
      </c>
      <c r="AS23" s="60">
        <f t="shared" si="18"/>
        <v>0</v>
      </c>
      <c r="AT23" s="61">
        <f t="shared" si="19"/>
        <v>0</v>
      </c>
      <c r="AU23" s="62">
        <f t="shared" si="20"/>
        <v>0</v>
      </c>
      <c r="AV23" s="63">
        <f t="shared" si="21"/>
        <v>4</v>
      </c>
      <c r="AW23" s="52"/>
      <c r="AX23" s="53"/>
      <c r="AY23" s="53"/>
      <c r="AZ23" s="53"/>
      <c r="BA23" s="53"/>
      <c r="BB23" s="66">
        <f t="shared" si="22"/>
        <v>0</v>
      </c>
      <c r="BC23" s="67">
        <f t="shared" si="23"/>
        <v>0</v>
      </c>
      <c r="BD23" s="67">
        <f t="shared" si="24"/>
        <v>0</v>
      </c>
      <c r="BE23" s="67">
        <f t="shared" si="25"/>
        <v>0</v>
      </c>
      <c r="BF23" s="67">
        <f t="shared" si="26"/>
        <v>0</v>
      </c>
      <c r="BG23" s="68">
        <f t="shared" si="27"/>
        <v>0</v>
      </c>
      <c r="BH23" s="69">
        <f t="shared" si="28"/>
        <v>0</v>
      </c>
      <c r="BI23" s="70">
        <f t="shared" si="29"/>
        <v>4</v>
      </c>
      <c r="BJ23" s="71">
        <v>0</v>
      </c>
      <c r="BK23" s="72">
        <f t="shared" si="30"/>
        <v>0</v>
      </c>
      <c r="BL23" s="73">
        <f t="shared" si="31"/>
        <v>0</v>
      </c>
      <c r="BM23" s="74">
        <f t="shared" si="32"/>
        <v>0</v>
      </c>
      <c r="BN23" s="73">
        <f t="shared" si="33"/>
        <v>0</v>
      </c>
      <c r="BO23" s="73">
        <f t="shared" si="34"/>
        <v>0</v>
      </c>
      <c r="BP23" s="73">
        <f t="shared" si="35"/>
        <v>0</v>
      </c>
      <c r="BQ23" s="75">
        <f>IF(ISNA(VLOOKUP(H23,UitslagFig!$C$5:$K$251,1,FALSE)),"",VLOOKUP(H23,UitslagFig!$C$5:$K$251,9,FALSE))</f>
        <v>0</v>
      </c>
      <c r="BR23" s="75">
        <f>IF(ISNA(VLOOKUP(K23,UitslagFig!$C$5:$K$251,1,FALSE)),"",VLOOKUP(K23,UitslagFig!$C$5:$K$251,9,FALSE))</f>
        <v>0</v>
      </c>
      <c r="BS23" s="75">
        <f>IF(ISNA(VLOOKUP(N23,UitslagFig!$C$5:$K$251,1,FALSE)),"",VLOOKUP(N23,UitslagFig!$C$5:$K$251,9,FALSE))</f>
        <v>0</v>
      </c>
      <c r="BT23" s="76">
        <f t="shared" si="36"/>
      </c>
      <c r="BU23" s="76">
        <f t="shared" si="37"/>
      </c>
      <c r="BV23" s="76">
        <f t="shared" si="38"/>
      </c>
      <c r="BW23" s="76">
        <f t="shared" si="39"/>
        <v>0</v>
      </c>
      <c r="BX23" s="76">
        <f t="shared" si="40"/>
        <v>0</v>
      </c>
      <c r="BY23" s="77">
        <f t="shared" si="41"/>
      </c>
      <c r="BZ23" s="77">
        <f t="shared" si="42"/>
        <v>0</v>
      </c>
      <c r="CA23" s="78">
        <f t="shared" si="43"/>
        <v>0</v>
      </c>
      <c r="CB23" s="79">
        <f t="shared" si="44"/>
      </c>
    </row>
    <row r="24" spans="1:80" ht="12.75">
      <c r="A24" s="8">
        <v>20</v>
      </c>
      <c r="B24" s="24">
        <f t="shared" si="0"/>
        <v>4</v>
      </c>
      <c r="C24" s="44">
        <f t="shared" si="1"/>
        <v>0</v>
      </c>
      <c r="D24" s="45">
        <f>IF(ISNA(VLOOKUP($H24,UitslagFig!$C$5:$K$251,1,FALSE)),"",VLOOKUP($H24,UitslagFig!$C$5:$K$251,3,FALSE))</f>
        <v>0</v>
      </c>
      <c r="E24" s="48"/>
      <c r="F24" s="48"/>
      <c r="G24" s="249">
        <f>IF(ISNA(VLOOKUP($H24,UitslagFig!$C$5:$K$251,1,FALSE)),"",VLOOKUP($H24,UitslagFig!$C$5:$K$251,2,FALSE))</f>
        <v>0</v>
      </c>
      <c r="H24" s="48"/>
      <c r="I24" s="47"/>
      <c r="J24" s="45">
        <f>IF(ISNA(VLOOKUP($K24,UitslagFig!$C$5:$K$251,1,FALSE)),"",VLOOKUP($K24,UitslagFig!$C$5:$K$251,2,FALSE))</f>
        <v>0</v>
      </c>
      <c r="K24" s="48"/>
      <c r="L24" s="47"/>
      <c r="M24" s="48">
        <f>IF(ISNA(VLOOKUP($N24,UitslagFig!$C$5:$N$250,1,FALSE)),"",VLOOKUP($N24,UitslagFig!$C$5:$N$250,2,FALSE))</f>
        <v>0</v>
      </c>
      <c r="N24" s="48"/>
      <c r="O24" s="47"/>
      <c r="P24" s="250">
        <f t="shared" si="2"/>
        <v>0</v>
      </c>
      <c r="Q24" s="48">
        <f>IF(ISNA(VLOOKUP($H24,UitslagFig!$C$5:$K$251,1,FALSE)),"",VLOOKUP($H24,UitslagFig!$C$5:$K$251,5,FALSE))</f>
        <v>0</v>
      </c>
      <c r="R24" s="49"/>
      <c r="S24" s="50">
        <v>0</v>
      </c>
      <c r="T24" s="24">
        <f t="shared" si="3"/>
      </c>
      <c r="U24" s="51">
        <f t="shared" si="4"/>
        <v>0</v>
      </c>
      <c r="V24" s="24">
        <f t="shared" si="5"/>
      </c>
      <c r="W24" s="52"/>
      <c r="X24" s="53"/>
      <c r="Y24" s="53"/>
      <c r="Z24" s="53"/>
      <c r="AA24" s="53"/>
      <c r="AB24" s="54">
        <f t="shared" si="6"/>
        <v>0</v>
      </c>
      <c r="AC24" s="55">
        <f t="shared" si="7"/>
        <v>0</v>
      </c>
      <c r="AD24" s="55">
        <f t="shared" si="8"/>
        <v>0</v>
      </c>
      <c r="AE24" s="55">
        <f t="shared" si="9"/>
        <v>0</v>
      </c>
      <c r="AF24" s="55">
        <f t="shared" si="10"/>
        <v>0</v>
      </c>
      <c r="AG24" s="56">
        <f t="shared" si="11"/>
        <v>0</v>
      </c>
      <c r="AH24" s="57">
        <f t="shared" si="12"/>
        <v>0</v>
      </c>
      <c r="AI24" s="58">
        <f t="shared" si="13"/>
        <v>4</v>
      </c>
      <c r="AJ24" s="52"/>
      <c r="AK24" s="53"/>
      <c r="AL24" s="53"/>
      <c r="AM24" s="53"/>
      <c r="AN24" s="53"/>
      <c r="AO24" s="59">
        <f t="shared" si="14"/>
        <v>0</v>
      </c>
      <c r="AP24" s="60">
        <f t="shared" si="15"/>
        <v>0</v>
      </c>
      <c r="AQ24" s="60">
        <f t="shared" si="16"/>
        <v>0</v>
      </c>
      <c r="AR24" s="60">
        <f t="shared" si="17"/>
        <v>0</v>
      </c>
      <c r="AS24" s="60">
        <f t="shared" si="18"/>
        <v>0</v>
      </c>
      <c r="AT24" s="61">
        <f t="shared" si="19"/>
        <v>0</v>
      </c>
      <c r="AU24" s="62">
        <f t="shared" si="20"/>
        <v>0</v>
      </c>
      <c r="AV24" s="63">
        <f t="shared" si="21"/>
        <v>4</v>
      </c>
      <c r="AW24" s="52"/>
      <c r="AX24" s="53"/>
      <c r="AY24" s="53"/>
      <c r="AZ24" s="53"/>
      <c r="BA24" s="53"/>
      <c r="BB24" s="66">
        <f t="shared" si="22"/>
        <v>0</v>
      </c>
      <c r="BC24" s="67">
        <f t="shared" si="23"/>
        <v>0</v>
      </c>
      <c r="BD24" s="67">
        <f t="shared" si="24"/>
        <v>0</v>
      </c>
      <c r="BE24" s="67">
        <f t="shared" si="25"/>
        <v>0</v>
      </c>
      <c r="BF24" s="67">
        <f t="shared" si="26"/>
        <v>0</v>
      </c>
      <c r="BG24" s="68">
        <f t="shared" si="27"/>
        <v>0</v>
      </c>
      <c r="BH24" s="69">
        <f t="shared" si="28"/>
        <v>0</v>
      </c>
      <c r="BI24" s="70">
        <f t="shared" si="29"/>
        <v>4</v>
      </c>
      <c r="BJ24" s="71">
        <v>0</v>
      </c>
      <c r="BK24" s="72">
        <f t="shared" si="30"/>
        <v>0</v>
      </c>
      <c r="BL24" s="73">
        <f t="shared" si="31"/>
        <v>0</v>
      </c>
      <c r="BM24" s="74">
        <f t="shared" si="32"/>
        <v>0</v>
      </c>
      <c r="BN24" s="73">
        <f t="shared" si="33"/>
        <v>0</v>
      </c>
      <c r="BO24" s="73">
        <f t="shared" si="34"/>
        <v>0</v>
      </c>
      <c r="BP24" s="73">
        <f t="shared" si="35"/>
        <v>0</v>
      </c>
      <c r="BQ24" s="75">
        <f>IF(ISNA(VLOOKUP(H24,UitslagFig!$C$5:$K$251,1,FALSE)),"",VLOOKUP(H24,UitslagFig!$C$5:$K$251,9,FALSE))</f>
        <v>0</v>
      </c>
      <c r="BR24" s="75">
        <f>IF(ISNA(VLOOKUP(K24,UitslagFig!$C$5:$K$251,1,FALSE)),"",VLOOKUP(K24,UitslagFig!$C$5:$K$251,9,FALSE))</f>
        <v>0</v>
      </c>
      <c r="BS24" s="75">
        <f>IF(ISNA(VLOOKUP(N24,UitslagFig!$C$5:$K$251,1,FALSE)),"",VLOOKUP(N24,UitslagFig!$C$5:$K$251,9,FALSE))</f>
        <v>0</v>
      </c>
      <c r="BT24" s="76">
        <f t="shared" si="36"/>
      </c>
      <c r="BU24" s="76">
        <f t="shared" si="37"/>
      </c>
      <c r="BV24" s="76">
        <f t="shared" si="38"/>
      </c>
      <c r="BW24" s="76">
        <f t="shared" si="39"/>
        <v>0</v>
      </c>
      <c r="BX24" s="76">
        <f t="shared" si="40"/>
        <v>0</v>
      </c>
      <c r="BY24" s="77">
        <f t="shared" si="41"/>
      </c>
      <c r="BZ24" s="77">
        <f t="shared" si="42"/>
        <v>0</v>
      </c>
      <c r="CA24" s="78">
        <f t="shared" si="43"/>
        <v>0</v>
      </c>
      <c r="CB24" s="79">
        <f t="shared" si="44"/>
      </c>
    </row>
    <row r="25" spans="1:80" ht="12.75">
      <c r="A25" s="8">
        <v>21</v>
      </c>
      <c r="B25" s="24">
        <f t="shared" si="0"/>
        <v>4</v>
      </c>
      <c r="C25" s="44">
        <f t="shared" si="1"/>
        <v>0</v>
      </c>
      <c r="D25" s="45">
        <f>IF(ISNA(VLOOKUP($H25,UitslagFig!$C$5:$K$251,1,FALSE)),"",VLOOKUP($H25,UitslagFig!$C$5:$K$251,3,FALSE))</f>
        <v>0</v>
      </c>
      <c r="E25" s="48"/>
      <c r="F25" s="48"/>
      <c r="G25" s="249">
        <f>IF(ISNA(VLOOKUP($H25,UitslagFig!$C$5:$K$251,1,FALSE)),"",VLOOKUP($H25,UitslagFig!$C$5:$K$251,2,FALSE))</f>
        <v>0</v>
      </c>
      <c r="H25" s="48"/>
      <c r="I25" s="47"/>
      <c r="J25" s="45">
        <f>IF(ISNA(VLOOKUP($K25,UitslagFig!$C$5:$K$251,1,FALSE)),"",VLOOKUP($K25,UitslagFig!$C$5:$K$251,2,FALSE))</f>
        <v>0</v>
      </c>
      <c r="K25" s="48"/>
      <c r="L25" s="47"/>
      <c r="M25" s="48">
        <f>IF(ISNA(VLOOKUP($N25,UitslagFig!$C$5:$N$250,1,FALSE)),"",VLOOKUP($N25,UitslagFig!$C$5:$N$250,2,FALSE))</f>
        <v>0</v>
      </c>
      <c r="N25" s="48"/>
      <c r="O25" s="47"/>
      <c r="P25" s="250">
        <f t="shared" si="2"/>
        <v>0</v>
      </c>
      <c r="Q25" s="48">
        <f>IF(ISNA(VLOOKUP($H25,UitslagFig!$C$5:$K$251,1,FALSE)),"",VLOOKUP($H25,UitslagFig!$C$5:$K$251,5,FALSE))</f>
        <v>0</v>
      </c>
      <c r="R25" s="49"/>
      <c r="S25" s="50">
        <v>0</v>
      </c>
      <c r="T25" s="24">
        <f t="shared" si="3"/>
      </c>
      <c r="U25" s="51">
        <f t="shared" si="4"/>
        <v>0</v>
      </c>
      <c r="V25" s="24">
        <f t="shared" si="5"/>
      </c>
      <c r="W25" s="52"/>
      <c r="X25" s="53"/>
      <c r="Y25" s="53"/>
      <c r="Z25" s="53"/>
      <c r="AA25" s="53"/>
      <c r="AB25" s="54">
        <f t="shared" si="6"/>
        <v>0</v>
      </c>
      <c r="AC25" s="55">
        <f t="shared" si="7"/>
        <v>0</v>
      </c>
      <c r="AD25" s="55">
        <f t="shared" si="8"/>
        <v>0</v>
      </c>
      <c r="AE25" s="55">
        <f t="shared" si="9"/>
        <v>0</v>
      </c>
      <c r="AF25" s="55">
        <f t="shared" si="10"/>
        <v>0</v>
      </c>
      <c r="AG25" s="56">
        <f t="shared" si="11"/>
        <v>0</v>
      </c>
      <c r="AH25" s="57">
        <f t="shared" si="12"/>
        <v>0</v>
      </c>
      <c r="AI25" s="58">
        <f t="shared" si="13"/>
        <v>4</v>
      </c>
      <c r="AJ25" s="52"/>
      <c r="AK25" s="53"/>
      <c r="AL25" s="53"/>
      <c r="AM25" s="53"/>
      <c r="AN25" s="53"/>
      <c r="AO25" s="59">
        <f t="shared" si="14"/>
        <v>0</v>
      </c>
      <c r="AP25" s="60">
        <f t="shared" si="15"/>
        <v>0</v>
      </c>
      <c r="AQ25" s="60">
        <f t="shared" si="16"/>
        <v>0</v>
      </c>
      <c r="AR25" s="60">
        <f t="shared" si="17"/>
        <v>0</v>
      </c>
      <c r="AS25" s="60">
        <f t="shared" si="18"/>
        <v>0</v>
      </c>
      <c r="AT25" s="61">
        <f t="shared" si="19"/>
        <v>0</v>
      </c>
      <c r="AU25" s="62">
        <f t="shared" si="20"/>
        <v>0</v>
      </c>
      <c r="AV25" s="63">
        <f t="shared" si="21"/>
        <v>4</v>
      </c>
      <c r="AW25" s="52"/>
      <c r="AX25" s="53"/>
      <c r="AY25" s="53"/>
      <c r="AZ25" s="53"/>
      <c r="BA25" s="53"/>
      <c r="BB25" s="66">
        <f t="shared" si="22"/>
        <v>0</v>
      </c>
      <c r="BC25" s="67">
        <f t="shared" si="23"/>
        <v>0</v>
      </c>
      <c r="BD25" s="67">
        <f t="shared" si="24"/>
        <v>0</v>
      </c>
      <c r="BE25" s="67">
        <f t="shared" si="25"/>
        <v>0</v>
      </c>
      <c r="BF25" s="67">
        <f t="shared" si="26"/>
        <v>0</v>
      </c>
      <c r="BG25" s="68">
        <f t="shared" si="27"/>
        <v>0</v>
      </c>
      <c r="BH25" s="69">
        <f t="shared" si="28"/>
        <v>0</v>
      </c>
      <c r="BI25" s="70">
        <f t="shared" si="29"/>
        <v>4</v>
      </c>
      <c r="BJ25" s="71">
        <v>0</v>
      </c>
      <c r="BK25" s="72">
        <f t="shared" si="30"/>
        <v>0</v>
      </c>
      <c r="BL25" s="73">
        <f t="shared" si="31"/>
        <v>0</v>
      </c>
      <c r="BM25" s="74">
        <f t="shared" si="32"/>
        <v>0</v>
      </c>
      <c r="BN25" s="73">
        <f t="shared" si="33"/>
        <v>0</v>
      </c>
      <c r="BO25" s="73">
        <f t="shared" si="34"/>
        <v>0</v>
      </c>
      <c r="BP25" s="73">
        <f t="shared" si="35"/>
        <v>0</v>
      </c>
      <c r="BQ25" s="75">
        <f>IF(ISNA(VLOOKUP(H25,UitslagFig!$C$5:$K$251,1,FALSE)),"",VLOOKUP(H25,UitslagFig!$C$5:$K$251,9,FALSE))</f>
        <v>0</v>
      </c>
      <c r="BR25" s="75">
        <f>IF(ISNA(VLOOKUP(K25,UitslagFig!$C$5:$K$251,1,FALSE)),"",VLOOKUP(K25,UitslagFig!$C$5:$K$251,9,FALSE))</f>
        <v>0</v>
      </c>
      <c r="BS25" s="75">
        <f>IF(ISNA(VLOOKUP(N25,UitslagFig!$C$5:$K$251,1,FALSE)),"",VLOOKUP(N25,UitslagFig!$C$5:$K$251,9,FALSE))</f>
        <v>0</v>
      </c>
      <c r="BT25" s="76">
        <f t="shared" si="36"/>
      </c>
      <c r="BU25" s="76">
        <f t="shared" si="37"/>
      </c>
      <c r="BV25" s="76">
        <f t="shared" si="38"/>
      </c>
      <c r="BW25" s="76">
        <f t="shared" si="39"/>
        <v>0</v>
      </c>
      <c r="BX25" s="76">
        <f t="shared" si="40"/>
        <v>0</v>
      </c>
      <c r="BY25" s="77">
        <f t="shared" si="41"/>
      </c>
      <c r="BZ25" s="77">
        <f t="shared" si="42"/>
        <v>0</v>
      </c>
      <c r="CA25" s="78">
        <f t="shared" si="43"/>
        <v>0</v>
      </c>
      <c r="CB25" s="79">
        <f t="shared" si="44"/>
      </c>
    </row>
    <row r="26" spans="1:80" ht="12.75">
      <c r="A26" s="8">
        <v>22</v>
      </c>
      <c r="B26" s="24">
        <f t="shared" si="0"/>
        <v>4</v>
      </c>
      <c r="C26" s="44">
        <f t="shared" si="1"/>
        <v>0</v>
      </c>
      <c r="D26" s="45">
        <f>IF(ISNA(VLOOKUP($H26,UitslagFig!$C$5:$K$251,1,FALSE)),"",VLOOKUP($H26,UitslagFig!$C$5:$K$251,3,FALSE))</f>
        <v>0</v>
      </c>
      <c r="E26" s="48"/>
      <c r="F26" s="48"/>
      <c r="G26" s="249">
        <f>IF(ISNA(VLOOKUP($H26,UitslagFig!$C$5:$K$251,1,FALSE)),"",VLOOKUP($H26,UitslagFig!$C$5:$K$251,2,FALSE))</f>
        <v>0</v>
      </c>
      <c r="H26" s="48"/>
      <c r="I26" s="47"/>
      <c r="J26" s="45">
        <f>IF(ISNA(VLOOKUP($K26,UitslagFig!$C$5:$K$251,1,FALSE)),"",VLOOKUP($K26,UitslagFig!$C$5:$K$251,2,FALSE))</f>
        <v>0</v>
      </c>
      <c r="K26" s="48"/>
      <c r="L26" s="47"/>
      <c r="M26" s="48">
        <f>IF(ISNA(VLOOKUP($N26,UitslagFig!$C$5:$N$250,1,FALSE)),"",VLOOKUP($N26,UitslagFig!$C$5:$N$250,2,FALSE))</f>
        <v>0</v>
      </c>
      <c r="N26" s="48"/>
      <c r="O26" s="47"/>
      <c r="P26" s="250">
        <f t="shared" si="2"/>
        <v>0</v>
      </c>
      <c r="Q26" s="48">
        <f>IF(ISNA(VLOOKUP($H26,UitslagFig!$C$5:$K$251,1,FALSE)),"",VLOOKUP($H26,UitslagFig!$C$5:$K$251,5,FALSE))</f>
        <v>0</v>
      </c>
      <c r="R26" s="49"/>
      <c r="S26" s="50">
        <v>0</v>
      </c>
      <c r="T26" s="24">
        <f t="shared" si="3"/>
      </c>
      <c r="U26" s="51">
        <f t="shared" si="4"/>
        <v>0</v>
      </c>
      <c r="V26" s="24">
        <f t="shared" si="5"/>
      </c>
      <c r="W26" s="52"/>
      <c r="X26" s="53"/>
      <c r="Y26" s="53"/>
      <c r="Z26" s="53"/>
      <c r="AA26" s="53"/>
      <c r="AB26" s="54">
        <f t="shared" si="6"/>
        <v>0</v>
      </c>
      <c r="AC26" s="55">
        <f t="shared" si="7"/>
        <v>0</v>
      </c>
      <c r="AD26" s="55">
        <f t="shared" si="8"/>
        <v>0</v>
      </c>
      <c r="AE26" s="55">
        <f t="shared" si="9"/>
        <v>0</v>
      </c>
      <c r="AF26" s="55">
        <f t="shared" si="10"/>
        <v>0</v>
      </c>
      <c r="AG26" s="56">
        <f t="shared" si="11"/>
        <v>0</v>
      </c>
      <c r="AH26" s="57">
        <f t="shared" si="12"/>
        <v>0</v>
      </c>
      <c r="AI26" s="58">
        <f t="shared" si="13"/>
        <v>4</v>
      </c>
      <c r="AJ26" s="52"/>
      <c r="AK26" s="53"/>
      <c r="AL26" s="53"/>
      <c r="AM26" s="53"/>
      <c r="AN26" s="53"/>
      <c r="AO26" s="59">
        <f t="shared" si="14"/>
        <v>0</v>
      </c>
      <c r="AP26" s="60">
        <f t="shared" si="15"/>
        <v>0</v>
      </c>
      <c r="AQ26" s="60">
        <f t="shared" si="16"/>
        <v>0</v>
      </c>
      <c r="AR26" s="60">
        <f t="shared" si="17"/>
        <v>0</v>
      </c>
      <c r="AS26" s="60">
        <f t="shared" si="18"/>
        <v>0</v>
      </c>
      <c r="AT26" s="61">
        <f t="shared" si="19"/>
        <v>0</v>
      </c>
      <c r="AU26" s="62">
        <f t="shared" si="20"/>
        <v>0</v>
      </c>
      <c r="AV26" s="63">
        <f t="shared" si="21"/>
        <v>4</v>
      </c>
      <c r="AW26" s="52"/>
      <c r="AX26" s="53"/>
      <c r="AY26" s="53"/>
      <c r="AZ26" s="53"/>
      <c r="BA26" s="53"/>
      <c r="BB26" s="66">
        <f t="shared" si="22"/>
        <v>0</v>
      </c>
      <c r="BC26" s="67">
        <f t="shared" si="23"/>
        <v>0</v>
      </c>
      <c r="BD26" s="67">
        <f t="shared" si="24"/>
        <v>0</v>
      </c>
      <c r="BE26" s="67">
        <f t="shared" si="25"/>
        <v>0</v>
      </c>
      <c r="BF26" s="67">
        <f t="shared" si="26"/>
        <v>0</v>
      </c>
      <c r="BG26" s="68">
        <f t="shared" si="27"/>
        <v>0</v>
      </c>
      <c r="BH26" s="69">
        <f t="shared" si="28"/>
        <v>0</v>
      </c>
      <c r="BI26" s="70">
        <f t="shared" si="29"/>
        <v>4</v>
      </c>
      <c r="BJ26" s="71">
        <v>0</v>
      </c>
      <c r="BK26" s="72">
        <f t="shared" si="30"/>
        <v>0</v>
      </c>
      <c r="BL26" s="73">
        <f t="shared" si="31"/>
        <v>0</v>
      </c>
      <c r="BM26" s="74">
        <f t="shared" si="32"/>
        <v>0</v>
      </c>
      <c r="BN26" s="73">
        <f t="shared" si="33"/>
        <v>0</v>
      </c>
      <c r="BO26" s="73">
        <f t="shared" si="34"/>
        <v>0</v>
      </c>
      <c r="BP26" s="73">
        <f t="shared" si="35"/>
        <v>0</v>
      </c>
      <c r="BQ26" s="75">
        <f>IF(ISNA(VLOOKUP(H26,UitslagFig!$C$5:$K$251,1,FALSE)),"",VLOOKUP(H26,UitslagFig!$C$5:$K$251,9,FALSE))</f>
        <v>0</v>
      </c>
      <c r="BR26" s="75">
        <f>IF(ISNA(VLOOKUP(K26,UitslagFig!$C$5:$K$251,1,FALSE)),"",VLOOKUP(K26,UitslagFig!$C$5:$K$251,9,FALSE))</f>
        <v>0</v>
      </c>
      <c r="BS26" s="75">
        <f>IF(ISNA(VLOOKUP(N26,UitslagFig!$C$5:$K$251,1,FALSE)),"",VLOOKUP(N26,UitslagFig!$C$5:$K$251,9,FALSE))</f>
        <v>0</v>
      </c>
      <c r="BT26" s="76">
        <f t="shared" si="36"/>
      </c>
      <c r="BU26" s="76">
        <f t="shared" si="37"/>
      </c>
      <c r="BV26" s="76">
        <f t="shared" si="38"/>
      </c>
      <c r="BW26" s="76">
        <f t="shared" si="39"/>
        <v>0</v>
      </c>
      <c r="BX26" s="76">
        <f t="shared" si="40"/>
        <v>0</v>
      </c>
      <c r="BY26" s="77">
        <f t="shared" si="41"/>
      </c>
      <c r="BZ26" s="77">
        <f t="shared" si="42"/>
        <v>0</v>
      </c>
      <c r="CA26" s="78">
        <f t="shared" si="43"/>
        <v>0</v>
      </c>
      <c r="CB26" s="79">
        <f t="shared" si="44"/>
      </c>
    </row>
    <row r="27" spans="1:80" ht="12.75">
      <c r="A27" s="8">
        <v>23</v>
      </c>
      <c r="B27" s="24">
        <f t="shared" si="0"/>
        <v>4</v>
      </c>
      <c r="C27" s="44">
        <f t="shared" si="1"/>
        <v>0</v>
      </c>
      <c r="D27" s="45">
        <f>IF(ISNA(VLOOKUP($H27,UitslagFig!$C$5:$K$251,1,FALSE)),"",VLOOKUP($H27,UitslagFig!$C$5:$K$251,3,FALSE))</f>
        <v>0</v>
      </c>
      <c r="E27" s="48"/>
      <c r="F27" s="48"/>
      <c r="G27" s="249">
        <f>IF(ISNA(VLOOKUP($H27,UitslagFig!$C$5:$K$251,1,FALSE)),"",VLOOKUP($H27,UitslagFig!$C$5:$K$251,2,FALSE))</f>
        <v>0</v>
      </c>
      <c r="H27" s="48"/>
      <c r="I27" s="47"/>
      <c r="J27" s="45">
        <f>IF(ISNA(VLOOKUP($K27,UitslagFig!$C$5:$K$251,1,FALSE)),"",VLOOKUP($K27,UitslagFig!$C$5:$K$251,2,FALSE))</f>
        <v>0</v>
      </c>
      <c r="K27" s="48"/>
      <c r="L27" s="47"/>
      <c r="M27" s="48">
        <f>IF(ISNA(VLOOKUP($N27,UitslagFig!$C$5:$N$250,1,FALSE)),"",VLOOKUP($N27,UitslagFig!$C$5:$N$250,2,FALSE))</f>
        <v>0</v>
      </c>
      <c r="N27" s="48"/>
      <c r="O27" s="47"/>
      <c r="P27" s="250">
        <f t="shared" si="2"/>
        <v>0</v>
      </c>
      <c r="Q27" s="48">
        <f>IF(ISNA(VLOOKUP($H27,UitslagFig!$C$5:$K$251,1,FALSE)),"",VLOOKUP($H27,UitslagFig!$C$5:$K$251,5,FALSE))</f>
        <v>0</v>
      </c>
      <c r="R27" s="49"/>
      <c r="S27" s="50">
        <v>0</v>
      </c>
      <c r="T27" s="24">
        <f t="shared" si="3"/>
      </c>
      <c r="U27" s="51">
        <f t="shared" si="4"/>
        <v>0</v>
      </c>
      <c r="V27" s="24">
        <f t="shared" si="5"/>
      </c>
      <c r="W27" s="52"/>
      <c r="X27" s="53"/>
      <c r="Y27" s="53"/>
      <c r="Z27" s="53"/>
      <c r="AA27" s="53"/>
      <c r="AB27" s="54">
        <f t="shared" si="6"/>
        <v>0</v>
      </c>
      <c r="AC27" s="55">
        <f t="shared" si="7"/>
        <v>0</v>
      </c>
      <c r="AD27" s="55">
        <f t="shared" si="8"/>
        <v>0</v>
      </c>
      <c r="AE27" s="55">
        <f t="shared" si="9"/>
        <v>0</v>
      </c>
      <c r="AF27" s="55">
        <f t="shared" si="10"/>
        <v>0</v>
      </c>
      <c r="AG27" s="56">
        <f t="shared" si="11"/>
        <v>0</v>
      </c>
      <c r="AH27" s="57">
        <f t="shared" si="12"/>
        <v>0</v>
      </c>
      <c r="AI27" s="58">
        <f t="shared" si="13"/>
        <v>4</v>
      </c>
      <c r="AJ27" s="52"/>
      <c r="AK27" s="53"/>
      <c r="AL27" s="53"/>
      <c r="AM27" s="53"/>
      <c r="AN27" s="53"/>
      <c r="AO27" s="59">
        <f t="shared" si="14"/>
        <v>0</v>
      </c>
      <c r="AP27" s="60">
        <f t="shared" si="15"/>
        <v>0</v>
      </c>
      <c r="AQ27" s="60">
        <f t="shared" si="16"/>
        <v>0</v>
      </c>
      <c r="AR27" s="60">
        <f t="shared" si="17"/>
        <v>0</v>
      </c>
      <c r="AS27" s="60">
        <f t="shared" si="18"/>
        <v>0</v>
      </c>
      <c r="AT27" s="61">
        <f t="shared" si="19"/>
        <v>0</v>
      </c>
      <c r="AU27" s="62">
        <f t="shared" si="20"/>
        <v>0</v>
      </c>
      <c r="AV27" s="63">
        <f t="shared" si="21"/>
        <v>4</v>
      </c>
      <c r="AW27" s="52"/>
      <c r="AX27" s="53"/>
      <c r="AY27" s="53"/>
      <c r="AZ27" s="53"/>
      <c r="BA27" s="53"/>
      <c r="BB27" s="66">
        <f t="shared" si="22"/>
        <v>0</v>
      </c>
      <c r="BC27" s="67">
        <f t="shared" si="23"/>
        <v>0</v>
      </c>
      <c r="BD27" s="67">
        <f t="shared" si="24"/>
        <v>0</v>
      </c>
      <c r="BE27" s="67">
        <f t="shared" si="25"/>
        <v>0</v>
      </c>
      <c r="BF27" s="67">
        <f t="shared" si="26"/>
        <v>0</v>
      </c>
      <c r="BG27" s="68">
        <f t="shared" si="27"/>
        <v>0</v>
      </c>
      <c r="BH27" s="69">
        <f t="shared" si="28"/>
        <v>0</v>
      </c>
      <c r="BI27" s="70">
        <f t="shared" si="29"/>
        <v>4</v>
      </c>
      <c r="BJ27" s="71">
        <v>0</v>
      </c>
      <c r="BK27" s="72">
        <f t="shared" si="30"/>
        <v>0</v>
      </c>
      <c r="BL27" s="73">
        <f t="shared" si="31"/>
        <v>0</v>
      </c>
      <c r="BM27" s="74">
        <f t="shared" si="32"/>
        <v>0</v>
      </c>
      <c r="BN27" s="73">
        <f t="shared" si="33"/>
        <v>0</v>
      </c>
      <c r="BO27" s="73">
        <f t="shared" si="34"/>
        <v>0</v>
      </c>
      <c r="BP27" s="73">
        <f t="shared" si="35"/>
        <v>0</v>
      </c>
      <c r="BQ27" s="75">
        <f>IF(ISNA(VLOOKUP(H27,UitslagFig!$C$5:$K$251,1,FALSE)),"",VLOOKUP(H27,UitslagFig!$C$5:$K$251,9,FALSE))</f>
        <v>0</v>
      </c>
      <c r="BR27" s="75">
        <f>IF(ISNA(VLOOKUP(K27,UitslagFig!$C$5:$K$251,1,FALSE)),"",VLOOKUP(K27,UitslagFig!$C$5:$K$251,9,FALSE))</f>
        <v>0</v>
      </c>
      <c r="BS27" s="75">
        <f>IF(ISNA(VLOOKUP(N27,UitslagFig!$C$5:$K$251,1,FALSE)),"",VLOOKUP(N27,UitslagFig!$C$5:$K$251,9,FALSE))</f>
        <v>0</v>
      </c>
      <c r="BT27" s="76">
        <f t="shared" si="36"/>
      </c>
      <c r="BU27" s="76">
        <f t="shared" si="37"/>
      </c>
      <c r="BV27" s="76">
        <f t="shared" si="38"/>
      </c>
      <c r="BW27" s="76">
        <f t="shared" si="39"/>
        <v>0</v>
      </c>
      <c r="BX27" s="76">
        <f t="shared" si="40"/>
        <v>0</v>
      </c>
      <c r="BY27" s="77">
        <f t="shared" si="41"/>
      </c>
      <c r="BZ27" s="77">
        <f t="shared" si="42"/>
        <v>0</v>
      </c>
      <c r="CA27" s="78">
        <f t="shared" si="43"/>
        <v>0</v>
      </c>
      <c r="CB27" s="79">
        <f t="shared" si="44"/>
      </c>
    </row>
    <row r="28" spans="1:80" ht="12.75">
      <c r="A28" s="8">
        <v>24</v>
      </c>
      <c r="B28" s="24">
        <f t="shared" si="0"/>
        <v>4</v>
      </c>
      <c r="C28" s="44">
        <f t="shared" si="1"/>
        <v>0</v>
      </c>
      <c r="D28" s="45">
        <f>IF(ISNA(VLOOKUP($H28,UitslagFig!$C$5:$K$251,1,FALSE)),"",VLOOKUP($H28,UitslagFig!$C$5:$K$251,3,FALSE))</f>
        <v>0</v>
      </c>
      <c r="E28" s="48"/>
      <c r="F28" s="48"/>
      <c r="G28" s="249">
        <f>IF(ISNA(VLOOKUP($H28,UitslagFig!$C$5:$K$251,1,FALSE)),"",VLOOKUP($H28,UitslagFig!$C$5:$K$251,2,FALSE))</f>
        <v>0</v>
      </c>
      <c r="H28" s="48"/>
      <c r="I28" s="47"/>
      <c r="J28" s="45">
        <f>IF(ISNA(VLOOKUP($K28,UitslagFig!$C$5:$K$251,1,FALSE)),"",VLOOKUP($K28,UitslagFig!$C$5:$K$251,2,FALSE))</f>
        <v>0</v>
      </c>
      <c r="K28" s="48"/>
      <c r="L28" s="47"/>
      <c r="M28" s="48">
        <f>IF(ISNA(VLOOKUP($N28,UitslagFig!$C$5:$N$250,1,FALSE)),"",VLOOKUP($N28,UitslagFig!$C$5:$N$250,2,FALSE))</f>
        <v>0</v>
      </c>
      <c r="N28" s="48"/>
      <c r="O28" s="47"/>
      <c r="P28" s="250">
        <f t="shared" si="2"/>
        <v>0</v>
      </c>
      <c r="Q28" s="48">
        <f>IF(ISNA(VLOOKUP($H28,UitslagFig!$C$5:$K$251,1,FALSE)),"",VLOOKUP($H28,UitslagFig!$C$5:$K$251,5,FALSE))</f>
        <v>0</v>
      </c>
      <c r="R28" s="49"/>
      <c r="S28" s="50">
        <v>0</v>
      </c>
      <c r="T28" s="24">
        <f t="shared" si="3"/>
      </c>
      <c r="U28" s="51">
        <f t="shared" si="4"/>
        <v>0</v>
      </c>
      <c r="V28" s="24">
        <f t="shared" si="5"/>
      </c>
      <c r="W28" s="52"/>
      <c r="X28" s="53"/>
      <c r="Y28" s="53"/>
      <c r="Z28" s="53"/>
      <c r="AA28" s="53"/>
      <c r="AB28" s="54">
        <f t="shared" si="6"/>
        <v>0</v>
      </c>
      <c r="AC28" s="55">
        <f t="shared" si="7"/>
        <v>0</v>
      </c>
      <c r="AD28" s="55">
        <f t="shared" si="8"/>
        <v>0</v>
      </c>
      <c r="AE28" s="55">
        <f t="shared" si="9"/>
        <v>0</v>
      </c>
      <c r="AF28" s="55">
        <f t="shared" si="10"/>
        <v>0</v>
      </c>
      <c r="AG28" s="56">
        <f t="shared" si="11"/>
        <v>0</v>
      </c>
      <c r="AH28" s="57">
        <f t="shared" si="12"/>
        <v>0</v>
      </c>
      <c r="AI28" s="58">
        <f t="shared" si="13"/>
        <v>4</v>
      </c>
      <c r="AJ28" s="52"/>
      <c r="AK28" s="53"/>
      <c r="AL28" s="53"/>
      <c r="AM28" s="53"/>
      <c r="AN28" s="53"/>
      <c r="AO28" s="59">
        <f t="shared" si="14"/>
        <v>0</v>
      </c>
      <c r="AP28" s="60">
        <f t="shared" si="15"/>
        <v>0</v>
      </c>
      <c r="AQ28" s="60">
        <f t="shared" si="16"/>
        <v>0</v>
      </c>
      <c r="AR28" s="60">
        <f t="shared" si="17"/>
        <v>0</v>
      </c>
      <c r="AS28" s="60">
        <f t="shared" si="18"/>
        <v>0</v>
      </c>
      <c r="AT28" s="61">
        <f t="shared" si="19"/>
        <v>0</v>
      </c>
      <c r="AU28" s="62">
        <f t="shared" si="20"/>
        <v>0</v>
      </c>
      <c r="AV28" s="63">
        <f t="shared" si="21"/>
        <v>4</v>
      </c>
      <c r="AW28" s="52"/>
      <c r="AX28" s="53"/>
      <c r="AY28" s="53"/>
      <c r="AZ28" s="53"/>
      <c r="BA28" s="53"/>
      <c r="BB28" s="66">
        <f t="shared" si="22"/>
        <v>0</v>
      </c>
      <c r="BC28" s="67">
        <f t="shared" si="23"/>
        <v>0</v>
      </c>
      <c r="BD28" s="67">
        <f t="shared" si="24"/>
        <v>0</v>
      </c>
      <c r="BE28" s="67">
        <f t="shared" si="25"/>
        <v>0</v>
      </c>
      <c r="BF28" s="67">
        <f t="shared" si="26"/>
        <v>0</v>
      </c>
      <c r="BG28" s="68">
        <f t="shared" si="27"/>
        <v>0</v>
      </c>
      <c r="BH28" s="69">
        <f t="shared" si="28"/>
        <v>0</v>
      </c>
      <c r="BI28" s="70">
        <f t="shared" si="29"/>
        <v>4</v>
      </c>
      <c r="BJ28" s="71">
        <v>0</v>
      </c>
      <c r="BK28" s="72">
        <f t="shared" si="30"/>
        <v>0</v>
      </c>
      <c r="BL28" s="73">
        <f t="shared" si="31"/>
        <v>0</v>
      </c>
      <c r="BM28" s="74">
        <f t="shared" si="32"/>
        <v>0</v>
      </c>
      <c r="BN28" s="73">
        <f t="shared" si="33"/>
        <v>0</v>
      </c>
      <c r="BO28" s="73">
        <f t="shared" si="34"/>
        <v>0</v>
      </c>
      <c r="BP28" s="73">
        <f t="shared" si="35"/>
        <v>0</v>
      </c>
      <c r="BQ28" s="75">
        <f>IF(ISNA(VLOOKUP(H28,UitslagFig!$C$5:$K$251,1,FALSE)),"",VLOOKUP(H28,UitslagFig!$C$5:$K$251,9,FALSE))</f>
        <v>0</v>
      </c>
      <c r="BR28" s="75">
        <f>IF(ISNA(VLOOKUP(K28,UitslagFig!$C$5:$K$251,1,FALSE)),"",VLOOKUP(K28,UitslagFig!$C$5:$K$251,9,FALSE))</f>
        <v>0</v>
      </c>
      <c r="BS28" s="75">
        <f>IF(ISNA(VLOOKUP(N28,UitslagFig!$C$5:$K$251,1,FALSE)),"",VLOOKUP(N28,UitslagFig!$C$5:$K$251,9,FALSE))</f>
        <v>0</v>
      </c>
      <c r="BT28" s="76">
        <f t="shared" si="36"/>
      </c>
      <c r="BU28" s="76">
        <f t="shared" si="37"/>
      </c>
      <c r="BV28" s="76">
        <f t="shared" si="38"/>
      </c>
      <c r="BW28" s="76">
        <f t="shared" si="39"/>
        <v>0</v>
      </c>
      <c r="BX28" s="76">
        <f t="shared" si="40"/>
        <v>0</v>
      </c>
      <c r="BY28" s="77">
        <f t="shared" si="41"/>
      </c>
      <c r="BZ28" s="77">
        <f t="shared" si="42"/>
        <v>0</v>
      </c>
      <c r="CA28" s="78">
        <f t="shared" si="43"/>
        <v>0</v>
      </c>
      <c r="CB28" s="79">
        <f t="shared" si="44"/>
      </c>
    </row>
    <row r="29" spans="1:80" ht="12.75">
      <c r="A29" s="8">
        <v>25</v>
      </c>
      <c r="B29" s="24">
        <f t="shared" si="0"/>
        <v>4</v>
      </c>
      <c r="C29" s="44">
        <f t="shared" si="1"/>
        <v>0</v>
      </c>
      <c r="D29" s="45">
        <f>IF(ISNA(VLOOKUP($H29,UitslagFig!$C$5:$K$251,1,FALSE)),"",VLOOKUP($H29,UitslagFig!$C$5:$K$251,3,FALSE))</f>
        <v>0</v>
      </c>
      <c r="E29" s="48"/>
      <c r="F29" s="48"/>
      <c r="G29" s="249">
        <f>IF(ISNA(VLOOKUP($H29,UitslagFig!$C$5:$K$251,1,FALSE)),"",VLOOKUP($H29,UitslagFig!$C$5:$K$251,2,FALSE))</f>
        <v>0</v>
      </c>
      <c r="H29" s="48"/>
      <c r="I29" s="47"/>
      <c r="J29" s="45">
        <f>IF(ISNA(VLOOKUP($K29,UitslagFig!$C$5:$K$251,1,FALSE)),"",VLOOKUP($K29,UitslagFig!$C$5:$K$251,2,FALSE))</f>
        <v>0</v>
      </c>
      <c r="K29" s="48"/>
      <c r="L29" s="47"/>
      <c r="M29" s="48">
        <f>IF(ISNA(VLOOKUP($N29,UitslagFig!$C$5:$N$250,1,FALSE)),"",VLOOKUP($N29,UitslagFig!$C$5:$N$250,2,FALSE))</f>
        <v>0</v>
      </c>
      <c r="N29" s="48"/>
      <c r="O29" s="47"/>
      <c r="P29" s="250">
        <f t="shared" si="2"/>
        <v>0</v>
      </c>
      <c r="Q29" s="48">
        <f>IF(ISNA(VLOOKUP($H29,UitslagFig!$C$5:$K$251,1,FALSE)),"",VLOOKUP($H29,UitslagFig!$C$5:$K$251,5,FALSE))</f>
        <v>0</v>
      </c>
      <c r="R29" s="49"/>
      <c r="S29" s="50">
        <v>0</v>
      </c>
      <c r="T29" s="24">
        <f t="shared" si="3"/>
      </c>
      <c r="U29" s="51">
        <f t="shared" si="4"/>
        <v>0</v>
      </c>
      <c r="V29" s="24">
        <f t="shared" si="5"/>
      </c>
      <c r="W29" s="52"/>
      <c r="X29" s="53"/>
      <c r="Y29" s="53"/>
      <c r="Z29" s="53"/>
      <c r="AA29" s="53"/>
      <c r="AB29" s="54">
        <f t="shared" si="6"/>
        <v>0</v>
      </c>
      <c r="AC29" s="55">
        <f t="shared" si="7"/>
        <v>0</v>
      </c>
      <c r="AD29" s="55">
        <f t="shared" si="8"/>
        <v>0</v>
      </c>
      <c r="AE29" s="55">
        <f t="shared" si="9"/>
        <v>0</v>
      </c>
      <c r="AF29" s="55">
        <f t="shared" si="10"/>
        <v>0</v>
      </c>
      <c r="AG29" s="56">
        <f t="shared" si="11"/>
        <v>0</v>
      </c>
      <c r="AH29" s="57">
        <f t="shared" si="12"/>
        <v>0</v>
      </c>
      <c r="AI29" s="58">
        <f t="shared" si="13"/>
        <v>4</v>
      </c>
      <c r="AJ29" s="52"/>
      <c r="AK29" s="53"/>
      <c r="AL29" s="53"/>
      <c r="AM29" s="53"/>
      <c r="AN29" s="53"/>
      <c r="AO29" s="59">
        <f t="shared" si="14"/>
        <v>0</v>
      </c>
      <c r="AP29" s="60">
        <f t="shared" si="15"/>
        <v>0</v>
      </c>
      <c r="AQ29" s="60">
        <f t="shared" si="16"/>
        <v>0</v>
      </c>
      <c r="AR29" s="60">
        <f t="shared" si="17"/>
        <v>0</v>
      </c>
      <c r="AS29" s="60">
        <f t="shared" si="18"/>
        <v>0</v>
      </c>
      <c r="AT29" s="61">
        <f t="shared" si="19"/>
        <v>0</v>
      </c>
      <c r="AU29" s="62">
        <f t="shared" si="20"/>
        <v>0</v>
      </c>
      <c r="AV29" s="63">
        <f t="shared" si="21"/>
        <v>4</v>
      </c>
      <c r="AW29" s="52"/>
      <c r="AX29" s="53"/>
      <c r="AY29" s="53"/>
      <c r="AZ29" s="53"/>
      <c r="BA29" s="53"/>
      <c r="BB29" s="66">
        <f t="shared" si="22"/>
        <v>0</v>
      </c>
      <c r="BC29" s="67">
        <f t="shared" si="23"/>
        <v>0</v>
      </c>
      <c r="BD29" s="67">
        <f t="shared" si="24"/>
        <v>0</v>
      </c>
      <c r="BE29" s="67">
        <f t="shared" si="25"/>
        <v>0</v>
      </c>
      <c r="BF29" s="67">
        <f t="shared" si="26"/>
        <v>0</v>
      </c>
      <c r="BG29" s="68">
        <f t="shared" si="27"/>
        <v>0</v>
      </c>
      <c r="BH29" s="69">
        <f t="shared" si="28"/>
        <v>0</v>
      </c>
      <c r="BI29" s="70">
        <f t="shared" si="29"/>
        <v>4</v>
      </c>
      <c r="BJ29" s="71">
        <v>0</v>
      </c>
      <c r="BK29" s="72">
        <f t="shared" si="30"/>
        <v>0</v>
      </c>
      <c r="BL29" s="73">
        <f t="shared" si="31"/>
        <v>0</v>
      </c>
      <c r="BM29" s="74">
        <f t="shared" si="32"/>
        <v>0</v>
      </c>
      <c r="BN29" s="73">
        <f t="shared" si="33"/>
        <v>0</v>
      </c>
      <c r="BO29" s="73">
        <f t="shared" si="34"/>
        <v>0</v>
      </c>
      <c r="BP29" s="73">
        <f t="shared" si="35"/>
        <v>0</v>
      </c>
      <c r="BQ29" s="75">
        <f>IF(ISNA(VLOOKUP(H29,UitslagFig!$C$5:$K$251,1,FALSE)),"",VLOOKUP(H29,UitslagFig!$C$5:$K$251,9,FALSE))</f>
        <v>0</v>
      </c>
      <c r="BR29" s="75">
        <f>IF(ISNA(VLOOKUP(K29,UitslagFig!$C$5:$K$251,1,FALSE)),"",VLOOKUP(K29,UitslagFig!$C$5:$K$251,9,FALSE))</f>
        <v>0</v>
      </c>
      <c r="BS29" s="75">
        <f>IF(ISNA(VLOOKUP(N29,UitslagFig!$C$5:$K$251,1,FALSE)),"",VLOOKUP(N29,UitslagFig!$C$5:$K$251,9,FALSE))</f>
        <v>0</v>
      </c>
      <c r="BT29" s="76">
        <f t="shared" si="36"/>
      </c>
      <c r="BU29" s="76">
        <f t="shared" si="37"/>
      </c>
      <c r="BV29" s="76">
        <f t="shared" si="38"/>
      </c>
      <c r="BW29" s="76">
        <f t="shared" si="39"/>
        <v>0</v>
      </c>
      <c r="BX29" s="76">
        <f t="shared" si="40"/>
        <v>0</v>
      </c>
      <c r="BY29" s="77">
        <f t="shared" si="41"/>
      </c>
      <c r="BZ29" s="77">
        <f t="shared" si="42"/>
        <v>0</v>
      </c>
      <c r="CA29" s="78">
        <f t="shared" si="43"/>
        <v>0</v>
      </c>
      <c r="CB29" s="79">
        <f t="shared" si="44"/>
      </c>
    </row>
    <row r="30" spans="1:80" ht="12.75">
      <c r="A30" s="8">
        <v>26</v>
      </c>
      <c r="B30" s="24">
        <f t="shared" si="0"/>
        <v>4</v>
      </c>
      <c r="C30" s="44">
        <f t="shared" si="1"/>
        <v>0</v>
      </c>
      <c r="D30" s="45">
        <f>IF(ISNA(VLOOKUP($H30,UitslagFig!$C$5:$K$251,1,FALSE)),"",VLOOKUP($H30,UitslagFig!$C$5:$K$251,3,FALSE))</f>
        <v>0</v>
      </c>
      <c r="E30" s="45"/>
      <c r="F30" s="45"/>
      <c r="G30" s="249">
        <f>IF(ISNA(VLOOKUP($H30,UitslagFig!$C$5:$K$251,1,FALSE)),"",VLOOKUP($H30,UitslagFig!$C$5:$K$251,2,FALSE))</f>
        <v>0</v>
      </c>
      <c r="H30" s="45"/>
      <c r="I30" s="47"/>
      <c r="J30" s="45">
        <f>IF(ISNA(VLOOKUP($K30,UitslagFig!$C$5:$K$251,1,FALSE)),"",VLOOKUP($K30,UitslagFig!$C$5:$K$251,2,FALSE))</f>
        <v>0</v>
      </c>
      <c r="K30" s="45"/>
      <c r="L30" s="47"/>
      <c r="M30" s="45">
        <f>IF(ISNA(VLOOKUP($N30,UitslagFig!$C$5:$N$250,1,FALSE)),"",VLOOKUP($N30,UitslagFig!$C$5:$N$250,2,FALSE))</f>
        <v>0</v>
      </c>
      <c r="N30" s="45"/>
      <c r="O30" s="47"/>
      <c r="P30" s="250">
        <f t="shared" si="2"/>
        <v>0</v>
      </c>
      <c r="Q30" s="48">
        <f>IF(ISNA(VLOOKUP($H30,UitslagFig!$C$5:$K$251,1,FALSE)),"",VLOOKUP($H30,UitslagFig!$C$5:$K$251,5,FALSE))</f>
        <v>0</v>
      </c>
      <c r="R30" s="49"/>
      <c r="S30" s="50">
        <v>0</v>
      </c>
      <c r="T30" s="24">
        <f t="shared" si="3"/>
      </c>
      <c r="U30" s="51">
        <f t="shared" si="4"/>
        <v>0</v>
      </c>
      <c r="V30" s="24">
        <f t="shared" si="5"/>
      </c>
      <c r="W30" s="52"/>
      <c r="X30" s="53"/>
      <c r="Y30" s="53"/>
      <c r="Z30" s="53"/>
      <c r="AA30" s="53"/>
      <c r="AB30" s="54">
        <f t="shared" si="6"/>
        <v>0</v>
      </c>
      <c r="AC30" s="55">
        <f t="shared" si="7"/>
        <v>0</v>
      </c>
      <c r="AD30" s="55">
        <f t="shared" si="8"/>
        <v>0</v>
      </c>
      <c r="AE30" s="55">
        <f t="shared" si="9"/>
        <v>0</v>
      </c>
      <c r="AF30" s="55">
        <f t="shared" si="10"/>
        <v>0</v>
      </c>
      <c r="AG30" s="56">
        <f t="shared" si="11"/>
        <v>0</v>
      </c>
      <c r="AH30" s="57">
        <f t="shared" si="12"/>
        <v>0</v>
      </c>
      <c r="AI30" s="58">
        <f t="shared" si="13"/>
        <v>4</v>
      </c>
      <c r="AJ30" s="52"/>
      <c r="AK30" s="53"/>
      <c r="AL30" s="53"/>
      <c r="AM30" s="53"/>
      <c r="AN30" s="53"/>
      <c r="AO30" s="59">
        <f t="shared" si="14"/>
        <v>0</v>
      </c>
      <c r="AP30" s="60">
        <f t="shared" si="15"/>
        <v>0</v>
      </c>
      <c r="AQ30" s="60">
        <f t="shared" si="16"/>
        <v>0</v>
      </c>
      <c r="AR30" s="60">
        <f t="shared" si="17"/>
        <v>0</v>
      </c>
      <c r="AS30" s="60">
        <f t="shared" si="18"/>
        <v>0</v>
      </c>
      <c r="AT30" s="61">
        <f t="shared" si="19"/>
        <v>0</v>
      </c>
      <c r="AU30" s="62">
        <f t="shared" si="20"/>
        <v>0</v>
      </c>
      <c r="AV30" s="63">
        <f t="shared" si="21"/>
        <v>4</v>
      </c>
      <c r="AW30" s="52"/>
      <c r="AX30" s="53"/>
      <c r="AY30" s="53"/>
      <c r="AZ30" s="53"/>
      <c r="BA30" s="53"/>
      <c r="BB30" s="66">
        <f t="shared" si="22"/>
        <v>0</v>
      </c>
      <c r="BC30" s="67">
        <f t="shared" si="23"/>
        <v>0</v>
      </c>
      <c r="BD30" s="67">
        <f t="shared" si="24"/>
        <v>0</v>
      </c>
      <c r="BE30" s="67">
        <f t="shared" si="25"/>
        <v>0</v>
      </c>
      <c r="BF30" s="67">
        <f t="shared" si="26"/>
        <v>0</v>
      </c>
      <c r="BG30" s="68">
        <f t="shared" si="27"/>
        <v>0</v>
      </c>
      <c r="BH30" s="69">
        <f t="shared" si="28"/>
        <v>0</v>
      </c>
      <c r="BI30" s="70">
        <f t="shared" si="29"/>
        <v>4</v>
      </c>
      <c r="BJ30" s="71">
        <v>0</v>
      </c>
      <c r="BK30" s="72">
        <f t="shared" si="30"/>
        <v>0</v>
      </c>
      <c r="BL30" s="73">
        <f t="shared" si="31"/>
        <v>0</v>
      </c>
      <c r="BM30" s="74">
        <f t="shared" si="32"/>
        <v>0</v>
      </c>
      <c r="BN30" s="73">
        <f t="shared" si="33"/>
        <v>0</v>
      </c>
      <c r="BO30" s="73">
        <f t="shared" si="34"/>
        <v>0</v>
      </c>
      <c r="BP30" s="73">
        <f t="shared" si="35"/>
        <v>0</v>
      </c>
      <c r="BQ30" s="75">
        <f>IF(ISNA(VLOOKUP(H30,UitslagFig!$C$5:$K$251,1,FALSE)),"",VLOOKUP(H30,UitslagFig!$C$5:$K$251,9,FALSE))</f>
        <v>0</v>
      </c>
      <c r="BR30" s="75">
        <f>IF(ISNA(VLOOKUP(K30,UitslagFig!$C$5:$K$251,1,FALSE)),"",VLOOKUP(K30,UitslagFig!$C$5:$K$251,9,FALSE))</f>
        <v>0</v>
      </c>
      <c r="BS30" s="75">
        <f>IF(ISNA(VLOOKUP(N30,UitslagFig!$C$5:$K$251,1,FALSE)),"",VLOOKUP(N30,UitslagFig!$C$5:$K$251,9,FALSE))</f>
        <v>0</v>
      </c>
      <c r="BT30" s="76">
        <f t="shared" si="36"/>
      </c>
      <c r="BU30" s="76">
        <f t="shared" si="37"/>
      </c>
      <c r="BV30" s="76">
        <f t="shared" si="38"/>
      </c>
      <c r="BW30" s="76">
        <f t="shared" si="39"/>
        <v>0</v>
      </c>
      <c r="BX30" s="76">
        <f t="shared" si="40"/>
        <v>0</v>
      </c>
      <c r="BY30" s="77">
        <f t="shared" si="41"/>
      </c>
      <c r="BZ30" s="77">
        <f t="shared" si="42"/>
        <v>0</v>
      </c>
      <c r="CA30" s="78">
        <f t="shared" si="43"/>
        <v>0</v>
      </c>
      <c r="CB30" s="79">
        <f t="shared" si="44"/>
      </c>
    </row>
    <row r="31" spans="1:80" ht="12.75">
      <c r="A31" s="8">
        <v>27</v>
      </c>
      <c r="B31" s="24">
        <f t="shared" si="0"/>
        <v>4</v>
      </c>
      <c r="C31" s="44">
        <f t="shared" si="1"/>
        <v>0</v>
      </c>
      <c r="D31" s="45">
        <f>IF(ISNA(VLOOKUP($H31,UitslagFig!$C$5:$K$251,1,FALSE)),"",VLOOKUP($H31,UitslagFig!$C$5:$K$251,3,FALSE))</f>
        <v>0</v>
      </c>
      <c r="E31" s="45"/>
      <c r="F31" s="45"/>
      <c r="G31" s="249">
        <f>IF(ISNA(VLOOKUP($H31,UitslagFig!$C$5:$K$251,1,FALSE)),"",VLOOKUP($H31,UitslagFig!$C$5:$K$251,2,FALSE))</f>
        <v>0</v>
      </c>
      <c r="H31" s="45"/>
      <c r="I31" s="47"/>
      <c r="J31" s="45">
        <f>IF(ISNA(VLOOKUP($K31,UitslagFig!$C$5:$K$251,1,FALSE)),"",VLOOKUP($K31,UitslagFig!$C$5:$K$251,2,FALSE))</f>
        <v>0</v>
      </c>
      <c r="K31" s="45"/>
      <c r="L31" s="47"/>
      <c r="M31" s="45">
        <f>IF(ISNA(VLOOKUP($N31,UitslagFig!$C$5:$N$250,1,FALSE)),"",VLOOKUP($N31,UitslagFig!$C$5:$N$250,2,FALSE))</f>
        <v>0</v>
      </c>
      <c r="N31" s="45"/>
      <c r="O31" s="47"/>
      <c r="P31" s="250">
        <f t="shared" si="2"/>
        <v>0</v>
      </c>
      <c r="Q31" s="48">
        <f>IF(ISNA(VLOOKUP($H31,UitslagFig!$C$5:$K$251,1,FALSE)),"",VLOOKUP($H31,UitslagFig!$C$5:$K$251,5,FALSE))</f>
        <v>0</v>
      </c>
      <c r="R31" s="49"/>
      <c r="S31" s="50">
        <v>0</v>
      </c>
      <c r="T31" s="24">
        <f t="shared" si="3"/>
      </c>
      <c r="U31" s="51">
        <f t="shared" si="4"/>
        <v>0</v>
      </c>
      <c r="V31" s="24">
        <f t="shared" si="5"/>
      </c>
      <c r="W31" s="52"/>
      <c r="X31" s="53"/>
      <c r="Y31" s="53"/>
      <c r="Z31" s="53"/>
      <c r="AA31" s="53"/>
      <c r="AB31" s="54">
        <f t="shared" si="6"/>
        <v>0</v>
      </c>
      <c r="AC31" s="55">
        <f t="shared" si="7"/>
        <v>0</v>
      </c>
      <c r="AD31" s="55">
        <f t="shared" si="8"/>
        <v>0</v>
      </c>
      <c r="AE31" s="55">
        <f t="shared" si="9"/>
        <v>0</v>
      </c>
      <c r="AF31" s="55">
        <f t="shared" si="10"/>
        <v>0</v>
      </c>
      <c r="AG31" s="56">
        <f t="shared" si="11"/>
        <v>0</v>
      </c>
      <c r="AH31" s="57">
        <f t="shared" si="12"/>
        <v>0</v>
      </c>
      <c r="AI31" s="58">
        <f t="shared" si="13"/>
        <v>4</v>
      </c>
      <c r="AJ31" s="52"/>
      <c r="AK31" s="53"/>
      <c r="AL31" s="53"/>
      <c r="AM31" s="53"/>
      <c r="AN31" s="53"/>
      <c r="AO31" s="59">
        <f t="shared" si="14"/>
        <v>0</v>
      </c>
      <c r="AP31" s="60">
        <f t="shared" si="15"/>
        <v>0</v>
      </c>
      <c r="AQ31" s="60">
        <f t="shared" si="16"/>
        <v>0</v>
      </c>
      <c r="AR31" s="60">
        <f t="shared" si="17"/>
        <v>0</v>
      </c>
      <c r="AS31" s="60">
        <f t="shared" si="18"/>
        <v>0</v>
      </c>
      <c r="AT31" s="61">
        <f t="shared" si="19"/>
        <v>0</v>
      </c>
      <c r="AU31" s="62">
        <f t="shared" si="20"/>
        <v>0</v>
      </c>
      <c r="AV31" s="63">
        <f t="shared" si="21"/>
        <v>4</v>
      </c>
      <c r="AW31" s="52"/>
      <c r="AX31" s="53"/>
      <c r="AY31" s="53"/>
      <c r="AZ31" s="53"/>
      <c r="BA31" s="53"/>
      <c r="BB31" s="66">
        <f t="shared" si="22"/>
        <v>0</v>
      </c>
      <c r="BC31" s="67">
        <f t="shared" si="23"/>
        <v>0</v>
      </c>
      <c r="BD31" s="67">
        <f t="shared" si="24"/>
        <v>0</v>
      </c>
      <c r="BE31" s="67">
        <f t="shared" si="25"/>
        <v>0</v>
      </c>
      <c r="BF31" s="67">
        <f t="shared" si="26"/>
        <v>0</v>
      </c>
      <c r="BG31" s="68">
        <f t="shared" si="27"/>
        <v>0</v>
      </c>
      <c r="BH31" s="69">
        <f t="shared" si="28"/>
        <v>0</v>
      </c>
      <c r="BI31" s="70">
        <f t="shared" si="29"/>
        <v>4</v>
      </c>
      <c r="BJ31" s="71">
        <v>0</v>
      </c>
      <c r="BK31" s="72">
        <f t="shared" si="30"/>
        <v>0</v>
      </c>
      <c r="BL31" s="73">
        <f t="shared" si="31"/>
        <v>0</v>
      </c>
      <c r="BM31" s="74">
        <f t="shared" si="32"/>
        <v>0</v>
      </c>
      <c r="BN31" s="73">
        <f t="shared" si="33"/>
        <v>0</v>
      </c>
      <c r="BO31" s="73">
        <f t="shared" si="34"/>
        <v>0</v>
      </c>
      <c r="BP31" s="73">
        <f t="shared" si="35"/>
        <v>0</v>
      </c>
      <c r="BQ31" s="75">
        <f>IF(ISNA(VLOOKUP(H31,UitslagFig!$C$5:$K$251,1,FALSE)),"",VLOOKUP(H31,UitslagFig!$C$5:$K$251,9,FALSE))</f>
        <v>0</v>
      </c>
      <c r="BR31" s="75">
        <f>IF(ISNA(VLOOKUP(K31,UitslagFig!$C$5:$K$251,1,FALSE)),"",VLOOKUP(K31,UitslagFig!$C$5:$K$251,9,FALSE))</f>
        <v>0</v>
      </c>
      <c r="BS31" s="75">
        <f>IF(ISNA(VLOOKUP(N31,UitslagFig!$C$5:$K$251,1,FALSE)),"",VLOOKUP(N31,UitslagFig!$C$5:$K$251,9,FALSE))</f>
        <v>0</v>
      </c>
      <c r="BT31" s="76">
        <f t="shared" si="36"/>
      </c>
      <c r="BU31" s="76">
        <f t="shared" si="37"/>
      </c>
      <c r="BV31" s="76">
        <f t="shared" si="38"/>
      </c>
      <c r="BW31" s="76">
        <f t="shared" si="39"/>
        <v>0</v>
      </c>
      <c r="BX31" s="76">
        <f t="shared" si="40"/>
        <v>0</v>
      </c>
      <c r="BY31" s="77">
        <f t="shared" si="41"/>
      </c>
      <c r="BZ31" s="77">
        <f t="shared" si="42"/>
        <v>0</v>
      </c>
      <c r="CA31" s="78">
        <f t="shared" si="43"/>
        <v>0</v>
      </c>
      <c r="CB31" s="79">
        <f t="shared" si="44"/>
      </c>
    </row>
    <row r="32" spans="1:80" ht="12.75">
      <c r="A32" s="8">
        <v>28</v>
      </c>
      <c r="B32" s="24">
        <f t="shared" si="0"/>
        <v>4</v>
      </c>
      <c r="C32" s="44">
        <f t="shared" si="1"/>
        <v>0</v>
      </c>
      <c r="D32" s="45">
        <f>IF(ISNA(VLOOKUP($H32,UitslagFig!$C$5:$K$251,1,FALSE)),"",VLOOKUP($H32,UitslagFig!$C$5:$K$251,3,FALSE))</f>
        <v>0</v>
      </c>
      <c r="E32" s="45"/>
      <c r="F32" s="45"/>
      <c r="G32" s="249">
        <f>IF(ISNA(VLOOKUP($H32,UitslagFig!$C$5:$K$251,1,FALSE)),"",VLOOKUP($H32,UitslagFig!$C$5:$K$251,2,FALSE))</f>
        <v>0</v>
      </c>
      <c r="H32" s="45"/>
      <c r="I32" s="47"/>
      <c r="J32" s="45">
        <f>IF(ISNA(VLOOKUP($K32,UitslagFig!$C$5:$K$251,1,FALSE)),"",VLOOKUP($K32,UitslagFig!$C$5:$K$251,2,FALSE))</f>
        <v>0</v>
      </c>
      <c r="K32" s="45"/>
      <c r="L32" s="47"/>
      <c r="M32" s="45">
        <f>IF(ISNA(VLOOKUP($N32,UitslagFig!$C$5:$N$250,1,FALSE)),"",VLOOKUP($N32,UitslagFig!$C$5:$N$250,2,FALSE))</f>
        <v>0</v>
      </c>
      <c r="N32" s="45"/>
      <c r="O32" s="47"/>
      <c r="P32" s="250">
        <f t="shared" si="2"/>
        <v>0</v>
      </c>
      <c r="Q32" s="48">
        <f>IF(ISNA(VLOOKUP($H32,UitslagFig!$C$5:$K$251,1,FALSE)),"",VLOOKUP($H32,UitslagFig!$C$5:$K$251,5,FALSE))</f>
        <v>0</v>
      </c>
      <c r="R32" s="49"/>
      <c r="S32" s="50">
        <v>0</v>
      </c>
      <c r="T32" s="24">
        <f t="shared" si="3"/>
      </c>
      <c r="U32" s="51">
        <f t="shared" si="4"/>
        <v>0</v>
      </c>
      <c r="V32" s="24">
        <f t="shared" si="5"/>
      </c>
      <c r="W32" s="52"/>
      <c r="X32" s="53"/>
      <c r="Y32" s="53"/>
      <c r="Z32" s="53"/>
      <c r="AA32" s="53"/>
      <c r="AB32" s="54">
        <f t="shared" si="6"/>
        <v>0</v>
      </c>
      <c r="AC32" s="55">
        <f t="shared" si="7"/>
        <v>0</v>
      </c>
      <c r="AD32" s="55">
        <f t="shared" si="8"/>
        <v>0</v>
      </c>
      <c r="AE32" s="55">
        <f t="shared" si="9"/>
        <v>0</v>
      </c>
      <c r="AF32" s="55">
        <f t="shared" si="10"/>
        <v>0</v>
      </c>
      <c r="AG32" s="56">
        <f t="shared" si="11"/>
        <v>0</v>
      </c>
      <c r="AH32" s="57">
        <f t="shared" si="12"/>
        <v>0</v>
      </c>
      <c r="AI32" s="58">
        <f t="shared" si="13"/>
        <v>4</v>
      </c>
      <c r="AJ32" s="52"/>
      <c r="AK32" s="53"/>
      <c r="AL32" s="53"/>
      <c r="AM32" s="53"/>
      <c r="AN32" s="53"/>
      <c r="AO32" s="59">
        <f t="shared" si="14"/>
        <v>0</v>
      </c>
      <c r="AP32" s="60">
        <f t="shared" si="15"/>
        <v>0</v>
      </c>
      <c r="AQ32" s="60">
        <f t="shared" si="16"/>
        <v>0</v>
      </c>
      <c r="AR32" s="60">
        <f t="shared" si="17"/>
        <v>0</v>
      </c>
      <c r="AS32" s="60">
        <f t="shared" si="18"/>
        <v>0</v>
      </c>
      <c r="AT32" s="61">
        <f t="shared" si="19"/>
        <v>0</v>
      </c>
      <c r="AU32" s="62">
        <f t="shared" si="20"/>
        <v>0</v>
      </c>
      <c r="AV32" s="63">
        <f t="shared" si="21"/>
        <v>4</v>
      </c>
      <c r="AW32" s="52"/>
      <c r="AX32" s="53"/>
      <c r="AY32" s="53"/>
      <c r="AZ32" s="53"/>
      <c r="BA32" s="53"/>
      <c r="BB32" s="66">
        <f t="shared" si="22"/>
        <v>0</v>
      </c>
      <c r="BC32" s="67">
        <f t="shared" si="23"/>
        <v>0</v>
      </c>
      <c r="BD32" s="67">
        <f t="shared" si="24"/>
        <v>0</v>
      </c>
      <c r="BE32" s="67">
        <f t="shared" si="25"/>
        <v>0</v>
      </c>
      <c r="BF32" s="67">
        <f t="shared" si="26"/>
        <v>0</v>
      </c>
      <c r="BG32" s="68">
        <f t="shared" si="27"/>
        <v>0</v>
      </c>
      <c r="BH32" s="69">
        <f t="shared" si="28"/>
        <v>0</v>
      </c>
      <c r="BI32" s="70">
        <f t="shared" si="29"/>
        <v>4</v>
      </c>
      <c r="BJ32" s="71">
        <v>0</v>
      </c>
      <c r="BK32" s="72">
        <f t="shared" si="30"/>
        <v>0</v>
      </c>
      <c r="BL32" s="73">
        <f t="shared" si="31"/>
        <v>0</v>
      </c>
      <c r="BM32" s="74">
        <f t="shared" si="32"/>
        <v>0</v>
      </c>
      <c r="BN32" s="73">
        <f t="shared" si="33"/>
        <v>0</v>
      </c>
      <c r="BO32" s="73">
        <f t="shared" si="34"/>
        <v>0</v>
      </c>
      <c r="BP32" s="73">
        <f t="shared" si="35"/>
        <v>0</v>
      </c>
      <c r="BQ32" s="75">
        <f>IF(ISNA(VLOOKUP(H32,UitslagFig!$C$5:$K$251,1,FALSE)),"",VLOOKUP(H32,UitslagFig!$C$5:$K$251,9,FALSE))</f>
        <v>0</v>
      </c>
      <c r="BR32" s="75">
        <f>IF(ISNA(VLOOKUP(K32,UitslagFig!$C$5:$K$251,1,FALSE)),"",VLOOKUP(K32,UitslagFig!$C$5:$K$251,9,FALSE))</f>
        <v>0</v>
      </c>
      <c r="BS32" s="75">
        <f>IF(ISNA(VLOOKUP(N32,UitslagFig!$C$5:$K$251,1,FALSE)),"",VLOOKUP(N32,UitslagFig!$C$5:$K$251,9,FALSE))</f>
        <v>0</v>
      </c>
      <c r="BT32" s="76">
        <f t="shared" si="36"/>
      </c>
      <c r="BU32" s="76">
        <f t="shared" si="37"/>
      </c>
      <c r="BV32" s="76">
        <f t="shared" si="38"/>
      </c>
      <c r="BW32" s="76">
        <f t="shared" si="39"/>
        <v>0</v>
      </c>
      <c r="BX32" s="76">
        <f t="shared" si="40"/>
        <v>0</v>
      </c>
      <c r="BY32" s="77">
        <f t="shared" si="41"/>
      </c>
      <c r="BZ32" s="77">
        <f t="shared" si="42"/>
        <v>0</v>
      </c>
      <c r="CA32" s="78">
        <f t="shared" si="43"/>
        <v>0</v>
      </c>
      <c r="CB32" s="79">
        <f t="shared" si="44"/>
      </c>
    </row>
    <row r="33" spans="1:80" ht="12.75">
      <c r="A33" s="8">
        <v>29</v>
      </c>
      <c r="B33" s="24">
        <f t="shared" si="0"/>
        <v>4</v>
      </c>
      <c r="C33" s="44">
        <f t="shared" si="1"/>
        <v>0</v>
      </c>
      <c r="D33" s="45">
        <f>IF(ISNA(VLOOKUP($H33,UitslagFig!$C$5:$K$251,1,FALSE)),"",VLOOKUP($H33,UitslagFig!$C$5:$K$251,3,FALSE))</f>
        <v>0</v>
      </c>
      <c r="E33" s="45"/>
      <c r="F33" s="45"/>
      <c r="G33" s="249">
        <f>IF(ISNA(VLOOKUP($H33,UitslagFig!$C$5:$K$251,1,FALSE)),"",VLOOKUP($H33,UitslagFig!$C$5:$K$251,2,FALSE))</f>
        <v>0</v>
      </c>
      <c r="H33" s="45"/>
      <c r="I33" s="47"/>
      <c r="J33" s="45">
        <f>IF(ISNA(VLOOKUP($K33,UitslagFig!$C$5:$K$251,1,FALSE)),"",VLOOKUP($K33,UitslagFig!$C$5:$K$251,2,FALSE))</f>
        <v>0</v>
      </c>
      <c r="K33" s="45"/>
      <c r="L33" s="47"/>
      <c r="M33" s="45">
        <f>IF(ISNA(VLOOKUP($N33,UitslagFig!$C$5:$N$250,1,FALSE)),"",VLOOKUP($N33,UitslagFig!$C$5:$N$250,2,FALSE))</f>
        <v>0</v>
      </c>
      <c r="N33" s="45"/>
      <c r="O33" s="47"/>
      <c r="P33" s="250">
        <f t="shared" si="2"/>
        <v>0</v>
      </c>
      <c r="Q33" s="48">
        <f>IF(ISNA(VLOOKUP($H33,UitslagFig!$C$5:$K$251,1,FALSE)),"",VLOOKUP($H33,UitslagFig!$C$5:$K$251,5,FALSE))</f>
        <v>0</v>
      </c>
      <c r="R33" s="49"/>
      <c r="S33" s="50">
        <v>0</v>
      </c>
      <c r="T33" s="24">
        <f t="shared" si="3"/>
      </c>
      <c r="U33" s="51">
        <f t="shared" si="4"/>
        <v>0</v>
      </c>
      <c r="V33" s="24">
        <f t="shared" si="5"/>
      </c>
      <c r="W33" s="52"/>
      <c r="X33" s="53"/>
      <c r="Y33" s="53"/>
      <c r="Z33" s="53"/>
      <c r="AA33" s="53"/>
      <c r="AB33" s="54">
        <f t="shared" si="6"/>
        <v>0</v>
      </c>
      <c r="AC33" s="55">
        <f t="shared" si="7"/>
        <v>0</v>
      </c>
      <c r="AD33" s="55">
        <f t="shared" si="8"/>
        <v>0</v>
      </c>
      <c r="AE33" s="55">
        <f t="shared" si="9"/>
        <v>0</v>
      </c>
      <c r="AF33" s="55">
        <f t="shared" si="10"/>
        <v>0</v>
      </c>
      <c r="AG33" s="56">
        <f t="shared" si="11"/>
        <v>0</v>
      </c>
      <c r="AH33" s="57">
        <f t="shared" si="12"/>
        <v>0</v>
      </c>
      <c r="AI33" s="58">
        <f t="shared" si="13"/>
        <v>4</v>
      </c>
      <c r="AJ33" s="52"/>
      <c r="AK33" s="53"/>
      <c r="AL33" s="53"/>
      <c r="AM33" s="53"/>
      <c r="AN33" s="53"/>
      <c r="AO33" s="59">
        <f t="shared" si="14"/>
        <v>0</v>
      </c>
      <c r="AP33" s="60">
        <f t="shared" si="15"/>
        <v>0</v>
      </c>
      <c r="AQ33" s="60">
        <f t="shared" si="16"/>
        <v>0</v>
      </c>
      <c r="AR33" s="60">
        <f t="shared" si="17"/>
        <v>0</v>
      </c>
      <c r="AS33" s="60">
        <f t="shared" si="18"/>
        <v>0</v>
      </c>
      <c r="AT33" s="61">
        <f t="shared" si="19"/>
        <v>0</v>
      </c>
      <c r="AU33" s="62">
        <f t="shared" si="20"/>
        <v>0</v>
      </c>
      <c r="AV33" s="63">
        <f t="shared" si="21"/>
        <v>4</v>
      </c>
      <c r="AW33" s="52"/>
      <c r="AX33" s="53"/>
      <c r="AY33" s="53"/>
      <c r="AZ33" s="53"/>
      <c r="BA33" s="53"/>
      <c r="BB33" s="66">
        <f t="shared" si="22"/>
        <v>0</v>
      </c>
      <c r="BC33" s="67">
        <f t="shared" si="23"/>
        <v>0</v>
      </c>
      <c r="BD33" s="67">
        <f t="shared" si="24"/>
        <v>0</v>
      </c>
      <c r="BE33" s="67">
        <f t="shared" si="25"/>
        <v>0</v>
      </c>
      <c r="BF33" s="67">
        <f t="shared" si="26"/>
        <v>0</v>
      </c>
      <c r="BG33" s="68">
        <f t="shared" si="27"/>
        <v>0</v>
      </c>
      <c r="BH33" s="69">
        <f t="shared" si="28"/>
        <v>0</v>
      </c>
      <c r="BI33" s="70">
        <f t="shared" si="29"/>
        <v>4</v>
      </c>
      <c r="BJ33" s="71">
        <v>0</v>
      </c>
      <c r="BK33" s="72">
        <f t="shared" si="30"/>
        <v>0</v>
      </c>
      <c r="BL33" s="73">
        <f t="shared" si="31"/>
        <v>0</v>
      </c>
      <c r="BM33" s="74">
        <f t="shared" si="32"/>
        <v>0</v>
      </c>
      <c r="BN33" s="73">
        <f t="shared" si="33"/>
        <v>0</v>
      </c>
      <c r="BO33" s="73">
        <f t="shared" si="34"/>
        <v>0</v>
      </c>
      <c r="BP33" s="73">
        <f t="shared" si="35"/>
        <v>0</v>
      </c>
      <c r="BQ33" s="75">
        <f>IF(ISNA(VLOOKUP(H33,UitslagFig!$C$5:$K$251,1,FALSE)),"",VLOOKUP(H33,UitslagFig!$C$5:$K$251,9,FALSE))</f>
        <v>0</v>
      </c>
      <c r="BR33" s="75">
        <f>IF(ISNA(VLOOKUP(K33,UitslagFig!$C$5:$K$251,1,FALSE)),"",VLOOKUP(K33,UitslagFig!$C$5:$K$251,9,FALSE))</f>
        <v>0</v>
      </c>
      <c r="BS33" s="75">
        <f>IF(ISNA(VLOOKUP(N33,UitslagFig!$C$5:$K$251,1,FALSE)),"",VLOOKUP(N33,UitslagFig!$C$5:$K$251,9,FALSE))</f>
        <v>0</v>
      </c>
      <c r="BT33" s="76">
        <f t="shared" si="36"/>
      </c>
      <c r="BU33" s="76">
        <f t="shared" si="37"/>
      </c>
      <c r="BV33" s="76">
        <f t="shared" si="38"/>
      </c>
      <c r="BW33" s="76">
        <f t="shared" si="39"/>
        <v>0</v>
      </c>
      <c r="BX33" s="76">
        <f t="shared" si="40"/>
        <v>0</v>
      </c>
      <c r="BY33" s="77">
        <f t="shared" si="41"/>
      </c>
      <c r="BZ33" s="77">
        <f t="shared" si="42"/>
        <v>0</v>
      </c>
      <c r="CA33" s="78">
        <f t="shared" si="43"/>
        <v>0</v>
      </c>
      <c r="CB33" s="79">
        <f t="shared" si="44"/>
      </c>
    </row>
    <row r="34" spans="1:80" ht="12.75">
      <c r="A34" s="8">
        <v>30</v>
      </c>
      <c r="B34" s="24">
        <f t="shared" si="0"/>
        <v>4</v>
      </c>
      <c r="C34" s="44">
        <f t="shared" si="1"/>
        <v>0</v>
      </c>
      <c r="D34" s="45">
        <f>IF(ISNA(VLOOKUP($H34,UitslagFig!$C$5:$K$251,1,FALSE)),"",VLOOKUP($H34,UitslagFig!$C$5:$K$251,3,FALSE))</f>
        <v>0</v>
      </c>
      <c r="E34" s="45"/>
      <c r="F34" s="45"/>
      <c r="G34" s="249">
        <f>IF(ISNA(VLOOKUP($H34,UitslagFig!$C$5:$K$251,1,FALSE)),"",VLOOKUP($H34,UitslagFig!$C$5:$K$251,2,FALSE))</f>
        <v>0</v>
      </c>
      <c r="H34" s="45"/>
      <c r="I34" s="47"/>
      <c r="J34" s="45">
        <f>IF(ISNA(VLOOKUP($K34,UitslagFig!$C$5:$K$251,1,FALSE)),"",VLOOKUP($K34,UitslagFig!$C$5:$K$251,2,FALSE))</f>
        <v>0</v>
      </c>
      <c r="K34" s="45"/>
      <c r="L34" s="47"/>
      <c r="M34" s="45">
        <f>IF(ISNA(VLOOKUP($N34,UitslagFig!$C$5:$N$250,1,FALSE)),"",VLOOKUP($N34,UitslagFig!$C$5:$N$250,2,FALSE))</f>
        <v>0</v>
      </c>
      <c r="N34" s="45"/>
      <c r="O34" s="47"/>
      <c r="P34" s="250">
        <f t="shared" si="2"/>
        <v>0</v>
      </c>
      <c r="Q34" s="48">
        <f>IF(ISNA(VLOOKUP($H34,UitslagFig!$C$5:$K$251,1,FALSE)),"",VLOOKUP($H34,UitslagFig!$C$5:$K$251,5,FALSE))</f>
        <v>0</v>
      </c>
      <c r="R34" s="49"/>
      <c r="S34" s="50">
        <v>0</v>
      </c>
      <c r="T34" s="24">
        <f t="shared" si="3"/>
      </c>
      <c r="U34" s="51">
        <f t="shared" si="4"/>
        <v>0</v>
      </c>
      <c r="V34" s="24">
        <f t="shared" si="5"/>
      </c>
      <c r="W34" s="52"/>
      <c r="X34" s="53"/>
      <c r="Y34" s="53"/>
      <c r="Z34" s="53"/>
      <c r="AA34" s="53"/>
      <c r="AB34" s="54">
        <f t="shared" si="6"/>
        <v>0</v>
      </c>
      <c r="AC34" s="55">
        <f t="shared" si="7"/>
        <v>0</v>
      </c>
      <c r="AD34" s="55">
        <f t="shared" si="8"/>
        <v>0</v>
      </c>
      <c r="AE34" s="55">
        <f t="shared" si="9"/>
        <v>0</v>
      </c>
      <c r="AF34" s="55">
        <f t="shared" si="10"/>
        <v>0</v>
      </c>
      <c r="AG34" s="56">
        <f t="shared" si="11"/>
        <v>0</v>
      </c>
      <c r="AH34" s="57">
        <f t="shared" si="12"/>
        <v>0</v>
      </c>
      <c r="AI34" s="58">
        <f t="shared" si="13"/>
        <v>4</v>
      </c>
      <c r="AJ34" s="52"/>
      <c r="AK34" s="53"/>
      <c r="AL34" s="53"/>
      <c r="AM34" s="53"/>
      <c r="AN34" s="53"/>
      <c r="AO34" s="59">
        <f t="shared" si="14"/>
        <v>0</v>
      </c>
      <c r="AP34" s="60">
        <f t="shared" si="15"/>
        <v>0</v>
      </c>
      <c r="AQ34" s="60">
        <f t="shared" si="16"/>
        <v>0</v>
      </c>
      <c r="AR34" s="60">
        <f t="shared" si="17"/>
        <v>0</v>
      </c>
      <c r="AS34" s="60">
        <f t="shared" si="18"/>
        <v>0</v>
      </c>
      <c r="AT34" s="61">
        <f t="shared" si="19"/>
        <v>0</v>
      </c>
      <c r="AU34" s="62">
        <f t="shared" si="20"/>
        <v>0</v>
      </c>
      <c r="AV34" s="63">
        <f t="shared" si="21"/>
        <v>4</v>
      </c>
      <c r="AW34" s="52"/>
      <c r="AX34" s="53"/>
      <c r="AY34" s="53"/>
      <c r="AZ34" s="53"/>
      <c r="BA34" s="53"/>
      <c r="BB34" s="66">
        <f t="shared" si="22"/>
        <v>0</v>
      </c>
      <c r="BC34" s="67">
        <f t="shared" si="23"/>
        <v>0</v>
      </c>
      <c r="BD34" s="67">
        <f t="shared" si="24"/>
        <v>0</v>
      </c>
      <c r="BE34" s="67">
        <f t="shared" si="25"/>
        <v>0</v>
      </c>
      <c r="BF34" s="67">
        <f t="shared" si="26"/>
        <v>0</v>
      </c>
      <c r="BG34" s="68">
        <f t="shared" si="27"/>
        <v>0</v>
      </c>
      <c r="BH34" s="69">
        <f t="shared" si="28"/>
        <v>0</v>
      </c>
      <c r="BI34" s="70">
        <f t="shared" si="29"/>
        <v>4</v>
      </c>
      <c r="BJ34" s="71">
        <v>0</v>
      </c>
      <c r="BK34" s="72">
        <f t="shared" si="30"/>
        <v>0</v>
      </c>
      <c r="BL34" s="73">
        <f t="shared" si="31"/>
        <v>0</v>
      </c>
      <c r="BM34" s="74">
        <f t="shared" si="32"/>
        <v>0</v>
      </c>
      <c r="BN34" s="73">
        <f t="shared" si="33"/>
        <v>0</v>
      </c>
      <c r="BO34" s="73">
        <f t="shared" si="34"/>
        <v>0</v>
      </c>
      <c r="BP34" s="73">
        <f t="shared" si="35"/>
        <v>0</v>
      </c>
      <c r="BQ34" s="75">
        <f>IF(ISNA(VLOOKUP(H34,UitslagFig!$C$5:$K$251,1,FALSE)),"",VLOOKUP(H34,UitslagFig!$C$5:$K$251,9,FALSE))</f>
        <v>0</v>
      </c>
      <c r="BR34" s="75">
        <f>IF(ISNA(VLOOKUP(K34,UitslagFig!$C$5:$K$251,1,FALSE)),"",VLOOKUP(K34,UitslagFig!$C$5:$K$251,9,FALSE))</f>
        <v>0</v>
      </c>
      <c r="BS34" s="75">
        <f>IF(ISNA(VLOOKUP(N34,UitslagFig!$C$5:$K$251,1,FALSE)),"",VLOOKUP(N34,UitslagFig!$C$5:$K$251,9,FALSE))</f>
        <v>0</v>
      </c>
      <c r="BT34" s="76">
        <f t="shared" si="36"/>
      </c>
      <c r="BU34" s="76">
        <f t="shared" si="37"/>
      </c>
      <c r="BV34" s="76">
        <f t="shared" si="38"/>
      </c>
      <c r="BW34" s="76">
        <f t="shared" si="39"/>
        <v>0</v>
      </c>
      <c r="BX34" s="76">
        <f t="shared" si="40"/>
        <v>0</v>
      </c>
      <c r="BY34" s="77">
        <f t="shared" si="41"/>
      </c>
      <c r="BZ34" s="77">
        <f t="shared" si="42"/>
        <v>0</v>
      </c>
      <c r="CA34" s="78">
        <f t="shared" si="43"/>
        <v>0</v>
      </c>
      <c r="CB34" s="79">
        <f t="shared" si="44"/>
      </c>
    </row>
  </sheetData>
  <sheetProtection selectLockedCells="1" selectUnlockedCells="1"/>
  <mergeCells count="12">
    <mergeCell ref="AJ3:AN3"/>
    <mergeCell ref="AO3:AT3"/>
    <mergeCell ref="AW3:BA3"/>
    <mergeCell ref="BJ3:BK3"/>
    <mergeCell ref="W2:AI2"/>
    <mergeCell ref="AJ2:AV2"/>
    <mergeCell ref="AW2:BI2"/>
    <mergeCell ref="G3:I3"/>
    <mergeCell ref="J3:L3"/>
    <mergeCell ref="M3:O3"/>
    <mergeCell ref="W3:AA3"/>
    <mergeCell ref="AB3:AG3"/>
  </mergeCells>
  <conditionalFormatting sqref="P7:P34">
    <cfRule type="cellIs" priority="1" dxfId="6" operator="notEqual" stopIfTrue="1">
      <formula>2</formula>
    </cfRule>
  </conditionalFormatting>
  <conditionalFormatting sqref="P5:P6">
    <cfRule type="cellIs" priority="2" dxfId="6" operator="notEqual" stopIfTrue="1">
      <formula>2</formula>
    </cfRule>
  </conditionalFormatting>
  <dataValidations count="1">
    <dataValidation type="list" allowBlank="1" showInputMessage="1" showErrorMessage="1" promptTitle="Deelneemster zwemt?" prompt="Zwemster = x&#10;Reserve = Res&#10;Afgemeld = Afm." errorTitle="Deelneemster zwemt?" error="Invoer moet zijn x of Afm  of Res" sqref="I5:I34 L5:L34 O5:O34">
      <formula1>$Q$1:$Q$3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B1:Q247"/>
  <sheetViews>
    <sheetView showZeros="0" view="pageBreakPreview" zoomScaleSheetLayoutView="100" zoomScalePageLayoutView="0" workbookViewId="0" topLeftCell="A1">
      <selection activeCell="N3" sqref="N3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34.00390625" style="0" customWidth="1"/>
    <col min="4" max="4" width="11.625" style="0" customWidth="1"/>
    <col min="5" max="5" width="8.00390625" style="0" customWidth="1"/>
    <col min="6" max="6" width="5.125" style="0" customWidth="1"/>
    <col min="7" max="10" width="4.875" style="0" customWidth="1"/>
    <col min="11" max="11" width="5.625" style="0" customWidth="1"/>
    <col min="12" max="12" width="4.875" style="0" customWidth="1"/>
    <col min="13" max="13" width="11.00390625" style="0" customWidth="1"/>
    <col min="14" max="14" width="4.375" style="0" customWidth="1"/>
    <col min="15" max="15" width="3.75390625" style="0" customWidth="1"/>
    <col min="16" max="16" width="9.75390625" style="0" customWidth="1"/>
    <col min="17" max="17" width="3.375" style="0" customWidth="1"/>
  </cols>
  <sheetData>
    <row r="1" spans="2:16" s="93" customFormat="1" ht="15.75">
      <c r="B1" s="94" t="str">
        <f>'Startlijst solo'!B1</f>
        <v>LSZK-A</v>
      </c>
      <c r="C1" s="95"/>
      <c r="D1" s="95"/>
      <c r="E1" s="96"/>
      <c r="M1" s="97" t="s">
        <v>66</v>
      </c>
      <c r="N1" s="367">
        <v>41805</v>
      </c>
      <c r="O1" s="367"/>
      <c r="P1" s="367"/>
    </row>
    <row r="2" spans="2:16" s="93" customFormat="1" ht="15.75">
      <c r="B2" s="98" t="str">
        <f>'Startlijst solo'!B2</f>
        <v>Organisatie:  SPIO Venray</v>
      </c>
      <c r="C2" s="95"/>
      <c r="D2" s="99" t="str">
        <f>'Startlijst solo'!D2</f>
        <v>Zwembad: De Sprank te Venray</v>
      </c>
      <c r="E2" s="96"/>
      <c r="M2" s="100" t="s">
        <v>69</v>
      </c>
      <c r="N2" s="368" t="s">
        <v>70</v>
      </c>
      <c r="O2" s="368"/>
      <c r="P2" s="368"/>
    </row>
    <row r="3" spans="2:16" s="93" customFormat="1" ht="15.75">
      <c r="B3" s="101" t="s">
        <v>167</v>
      </c>
      <c r="C3" s="101" t="str">
        <f>'Startlijst solo'!C3</f>
        <v>Age I</v>
      </c>
      <c r="D3" s="102"/>
      <c r="E3" s="103"/>
      <c r="F3" s="104"/>
      <c r="G3" s="104"/>
      <c r="H3" s="104"/>
      <c r="I3" s="104"/>
      <c r="J3" s="104"/>
      <c r="K3" s="104"/>
      <c r="P3" s="105"/>
    </row>
    <row r="4" spans="2:17" s="106" customFormat="1" ht="5.25" customHeight="1">
      <c r="B4" s="107"/>
      <c r="C4" s="107"/>
      <c r="D4" s="108"/>
      <c r="E4" s="109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10"/>
      <c r="Q4" s="107"/>
    </row>
    <row r="5" spans="2:17" s="106" customFormat="1" ht="15.75">
      <c r="B5" s="111"/>
      <c r="C5" s="112" t="s">
        <v>168</v>
      </c>
      <c r="D5" s="113"/>
      <c r="E5" s="114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5"/>
      <c r="Q5" s="111"/>
    </row>
    <row r="6" spans="2:17" s="106" customFormat="1" ht="4.5" customHeight="1">
      <c r="B6" s="111"/>
      <c r="C6" s="111"/>
      <c r="D6" s="113"/>
      <c r="E6" s="114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5"/>
      <c r="Q6" s="111"/>
    </row>
    <row r="7" spans="2:17" s="106" customFormat="1" ht="15">
      <c r="B7" s="106" t="s">
        <v>74</v>
      </c>
      <c r="C7" s="116" t="s">
        <v>18</v>
      </c>
      <c r="D7" s="117" t="s">
        <v>75</v>
      </c>
      <c r="E7" s="114" t="s">
        <v>27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5"/>
      <c r="Q7" s="111"/>
    </row>
    <row r="8" spans="2:17" s="106" customFormat="1" ht="15">
      <c r="B8" s="106" t="s">
        <v>76</v>
      </c>
      <c r="C8" s="116" t="s">
        <v>77</v>
      </c>
      <c r="D8" s="118" t="s">
        <v>78</v>
      </c>
      <c r="E8" s="119"/>
      <c r="F8" s="121">
        <v>1</v>
      </c>
      <c r="G8" s="121">
        <v>2</v>
      </c>
      <c r="H8" s="121">
        <v>3</v>
      </c>
      <c r="I8" s="121">
        <v>4</v>
      </c>
      <c r="J8" s="121">
        <v>5</v>
      </c>
      <c r="K8" s="121"/>
      <c r="L8" s="121"/>
      <c r="M8" s="121"/>
      <c r="N8" s="121"/>
      <c r="O8" s="121"/>
      <c r="P8" s="122"/>
      <c r="Q8" s="121"/>
    </row>
    <row r="9" spans="2:17" ht="18" customHeight="1">
      <c r="B9" s="123">
        <f>Invoerenduet!$A$5</f>
        <v>1</v>
      </c>
      <c r="C9" s="124" t="str">
        <f>Invoerenduet!$D$5</f>
        <v>SPIO Venray</v>
      </c>
      <c r="D9" s="125" t="str">
        <f>Invoerenduet!$Q$5</f>
        <v>Limburg</v>
      </c>
      <c r="E9" s="126">
        <v>0.3</v>
      </c>
      <c r="F9" s="127"/>
      <c r="G9" s="127"/>
      <c r="H9" s="127"/>
      <c r="I9" s="128"/>
      <c r="J9" s="128"/>
      <c r="K9" s="129"/>
      <c r="L9" s="130" t="s">
        <v>79</v>
      </c>
      <c r="M9" s="131" t="s">
        <v>80</v>
      </c>
      <c r="N9" s="132">
        <f>Invoerenduet!$C$1</f>
        <v>50</v>
      </c>
      <c r="O9" s="133" t="s">
        <v>81</v>
      </c>
      <c r="P9" s="134">
        <f>ROUND(Invoerenduet!$BX$5*Invoerenduet!$C$1/100,4)</f>
        <v>22.47</v>
      </c>
      <c r="Q9" s="49">
        <f>Invoerenduet!$CB$5</f>
        <v>1</v>
      </c>
    </row>
    <row r="10" spans="2:17" ht="18" customHeight="1">
      <c r="B10" s="135" t="str">
        <f>Invoerenduet!$I$5</f>
        <v>x</v>
      </c>
      <c r="C10" s="135" t="str">
        <f>Invoerenduet!$G$5</f>
        <v>Neri Euwes</v>
      </c>
      <c r="D10" s="135">
        <f>Invoerenduet!$H$5</f>
        <v>200200074</v>
      </c>
      <c r="E10" s="126">
        <v>0.4</v>
      </c>
      <c r="F10" s="127"/>
      <c r="G10" s="127"/>
      <c r="H10" s="127"/>
      <c r="I10" s="128"/>
      <c r="J10" s="128"/>
      <c r="K10" s="136"/>
      <c r="L10" s="137" t="s">
        <v>82</v>
      </c>
      <c r="M10" s="138" t="s">
        <v>83</v>
      </c>
      <c r="N10" s="139">
        <f>Invoerenduet!$C$3</f>
        <v>0</v>
      </c>
      <c r="O10" s="140" t="s">
        <v>81</v>
      </c>
      <c r="P10" s="141">
        <f>ROUND(Invoerenduet!$S$5*Invoerenduet!$C$3/100,4)</f>
        <v>0</v>
      </c>
      <c r="Q10" s="7">
        <f>Invoerenduet!$T$5</f>
      </c>
    </row>
    <row r="11" spans="2:17" ht="18" customHeight="1">
      <c r="B11" s="135" t="str">
        <f>Invoerenduet!$L$5</f>
        <v>x</v>
      </c>
      <c r="C11" s="135" t="str">
        <f>Invoerenduet!$J$5</f>
        <v>Elke Francken</v>
      </c>
      <c r="D11" s="135">
        <f>Invoerenduet!$K$5</f>
        <v>200201968</v>
      </c>
      <c r="E11" s="126">
        <v>0.3</v>
      </c>
      <c r="F11" s="127"/>
      <c r="G11" s="127"/>
      <c r="H11" s="127"/>
      <c r="I11" s="128"/>
      <c r="J11" s="128"/>
      <c r="K11" s="136"/>
      <c r="L11" s="137" t="s">
        <v>84</v>
      </c>
      <c r="M11" s="142"/>
      <c r="N11" s="142"/>
      <c r="O11" s="143"/>
      <c r="P11" s="143"/>
      <c r="Q11" s="7"/>
    </row>
    <row r="12" spans="2:17" ht="18" customHeight="1">
      <c r="B12" s="135" t="str">
        <f>Invoerenduet!$O$5</f>
        <v>Res</v>
      </c>
      <c r="C12" s="135" t="str">
        <f>Invoerenduet!$M$5</f>
        <v>Vera Andriessen</v>
      </c>
      <c r="D12" s="135">
        <f>Invoerenduet!$N$5</f>
        <v>200200444</v>
      </c>
      <c r="E12" s="142"/>
      <c r="F12" s="142"/>
      <c r="G12" s="144"/>
      <c r="H12" s="144"/>
      <c r="I12" s="145"/>
      <c r="J12" s="145"/>
      <c r="K12" s="146">
        <f>SUM(K9:K11)</f>
        <v>0</v>
      </c>
      <c r="L12" s="142"/>
      <c r="M12" s="142"/>
      <c r="N12" s="142"/>
      <c r="O12" s="143"/>
      <c r="P12" s="143"/>
      <c r="Q12" s="7"/>
    </row>
    <row r="13" spans="2:17" ht="18" customHeight="1">
      <c r="B13" s="135"/>
      <c r="C13" s="135"/>
      <c r="D13" s="135"/>
      <c r="E13" s="142"/>
      <c r="F13" s="142"/>
      <c r="G13" s="135"/>
      <c r="H13" s="135"/>
      <c r="I13" s="147"/>
      <c r="J13" s="148" t="s">
        <v>85</v>
      </c>
      <c r="K13" s="149"/>
      <c r="L13" s="137" t="s">
        <v>86</v>
      </c>
      <c r="M13" s="142"/>
      <c r="N13" s="142"/>
      <c r="O13" s="143"/>
      <c r="P13" s="143"/>
      <c r="Q13" s="7"/>
    </row>
    <row r="14" spans="2:17" ht="18" customHeight="1">
      <c r="B14" s="135"/>
      <c r="C14" s="150" t="s">
        <v>87</v>
      </c>
      <c r="D14" s="49" t="str">
        <f>Invoerenduet!$E$5</f>
        <v>One Direction</v>
      </c>
      <c r="E14" s="151"/>
      <c r="F14" s="142"/>
      <c r="G14" s="135"/>
      <c r="H14" s="135"/>
      <c r="I14" s="147"/>
      <c r="J14" s="106"/>
      <c r="K14" s="152"/>
      <c r="L14" s="142"/>
      <c r="M14" s="148" t="s">
        <v>88</v>
      </c>
      <c r="N14" s="142">
        <f>Invoerenduet!$C$2</f>
        <v>50</v>
      </c>
      <c r="O14" s="153" t="s">
        <v>81</v>
      </c>
      <c r="P14" s="154"/>
      <c r="Q14" s="7">
        <f>Invoerenduet!$V$5</f>
        <v>3</v>
      </c>
    </row>
    <row r="15" spans="2:17" ht="18" customHeight="1">
      <c r="B15" s="135"/>
      <c r="C15" s="150" t="s">
        <v>89</v>
      </c>
      <c r="D15" s="49" t="str">
        <f>Invoerenduet!$F$5</f>
        <v>Spio Synchro</v>
      </c>
      <c r="E15" s="151"/>
      <c r="F15" s="142"/>
      <c r="G15" s="135"/>
      <c r="H15" s="135"/>
      <c r="I15" s="155"/>
      <c r="J15" s="106"/>
      <c r="K15" s="152"/>
      <c r="L15" s="142"/>
      <c r="M15" s="156" t="s">
        <v>17</v>
      </c>
      <c r="N15" s="142"/>
      <c r="O15" s="142"/>
      <c r="P15" s="143">
        <f>P9+P10</f>
        <v>22.47</v>
      </c>
      <c r="Q15" s="157"/>
    </row>
    <row r="16" spans="2:17" ht="18" customHeight="1">
      <c r="B16" s="11"/>
      <c r="C16" s="158"/>
      <c r="D16" s="151"/>
      <c r="E16" s="158"/>
      <c r="F16" s="11"/>
      <c r="G16" s="11"/>
      <c r="H16" s="11"/>
      <c r="I16" s="11"/>
      <c r="J16" s="11"/>
      <c r="K16" s="11"/>
      <c r="L16" s="11"/>
      <c r="M16" s="159"/>
      <c r="N16" s="160"/>
      <c r="O16" s="158"/>
      <c r="P16" s="158"/>
      <c r="Q16" s="11"/>
    </row>
    <row r="17" spans="2:17" ht="18" customHeight="1">
      <c r="B17" s="155">
        <f>Invoerenduet!$A$6</f>
        <v>2</v>
      </c>
      <c r="C17" s="161" t="str">
        <f>Invoerenduet!$D$6</f>
        <v>Hellas-Glana</v>
      </c>
      <c r="D17" s="125" t="str">
        <f>Invoerenduet!$Q$6</f>
        <v>Limburg</v>
      </c>
      <c r="E17" s="126">
        <v>0.3</v>
      </c>
      <c r="F17" s="162"/>
      <c r="G17" s="162"/>
      <c r="H17" s="162"/>
      <c r="I17" s="163"/>
      <c r="J17" s="163"/>
      <c r="K17" s="136"/>
      <c r="L17" s="130" t="s">
        <v>79</v>
      </c>
      <c r="M17" s="164" t="s">
        <v>80</v>
      </c>
      <c r="N17" s="165">
        <f>Invoerenduet!$C$1</f>
        <v>50</v>
      </c>
      <c r="O17" s="166" t="s">
        <v>81</v>
      </c>
      <c r="P17" s="167">
        <f>ROUND(Invoerenduet!$BX$6*Invoerenduet!$C$1/100,4)</f>
        <v>22.4545</v>
      </c>
      <c r="Q17" s="49">
        <f>Invoerenduet!$CB$6</f>
        <v>2</v>
      </c>
    </row>
    <row r="18" spans="2:17" ht="18" customHeight="1">
      <c r="B18" s="135" t="str">
        <f>Invoerenduet!$I$6</f>
        <v>x</v>
      </c>
      <c r="C18" s="135" t="str">
        <f>Invoerenduet!$G$6</f>
        <v>Debbie Geilen</v>
      </c>
      <c r="D18" s="135">
        <f>Invoerenduet!$H$6</f>
        <v>200400742</v>
      </c>
      <c r="E18" s="126">
        <v>0.4</v>
      </c>
      <c r="F18" s="127"/>
      <c r="G18" s="127"/>
      <c r="H18" s="127"/>
      <c r="I18" s="128"/>
      <c r="J18" s="128"/>
      <c r="K18" s="136"/>
      <c r="L18" s="137" t="s">
        <v>82</v>
      </c>
      <c r="M18" s="138" t="s">
        <v>83</v>
      </c>
      <c r="N18" s="139">
        <f>Invoerenduet!$C$3</f>
        <v>0</v>
      </c>
      <c r="O18" s="140" t="s">
        <v>81</v>
      </c>
      <c r="P18" s="141">
        <f>ROUND(Invoerenduet!$S$6*Invoerenduet!$C$3/100,4)</f>
        <v>0</v>
      </c>
      <c r="Q18" s="7">
        <f>Invoerenduet!$T$6</f>
      </c>
    </row>
    <row r="19" spans="2:17" ht="18" customHeight="1">
      <c r="B19" s="135" t="str">
        <f>Invoerenduet!$L$6</f>
        <v>x</v>
      </c>
      <c r="C19" s="135" t="str">
        <f>Invoerenduet!$J$6</f>
        <v>Sarah Molensky</v>
      </c>
      <c r="D19" s="135">
        <f>Invoerenduet!$K$6</f>
        <v>200301680</v>
      </c>
      <c r="E19" s="126">
        <v>0.3</v>
      </c>
      <c r="F19" s="127"/>
      <c r="G19" s="127"/>
      <c r="H19" s="127"/>
      <c r="I19" s="128"/>
      <c r="J19" s="128"/>
      <c r="K19" s="136"/>
      <c r="L19" s="137" t="s">
        <v>84</v>
      </c>
      <c r="M19" s="142"/>
      <c r="N19" s="142"/>
      <c r="O19" s="143"/>
      <c r="P19" s="143"/>
      <c r="Q19" s="7"/>
    </row>
    <row r="20" spans="2:17" ht="18" customHeight="1">
      <c r="B20" s="135">
        <f>Invoerenduet!$O$6</f>
        <v>0</v>
      </c>
      <c r="C20" s="135">
        <f>Invoerenduet!$M$6</f>
        <v>0</v>
      </c>
      <c r="D20" s="135">
        <f>Invoerenduet!$N$6</f>
        <v>0</v>
      </c>
      <c r="E20" s="142"/>
      <c r="F20" s="142"/>
      <c r="G20" s="144"/>
      <c r="H20" s="144"/>
      <c r="I20" s="145"/>
      <c r="J20" s="145"/>
      <c r="K20" s="146">
        <f>SUM(K17:K19)</f>
        <v>0</v>
      </c>
      <c r="L20" s="142"/>
      <c r="M20" s="142"/>
      <c r="N20" s="142"/>
      <c r="O20" s="143"/>
      <c r="P20" s="143"/>
      <c r="Q20" s="7"/>
    </row>
    <row r="21" spans="2:17" ht="18" customHeight="1">
      <c r="B21" s="135"/>
      <c r="C21" s="135"/>
      <c r="D21" s="135"/>
      <c r="E21" s="142"/>
      <c r="F21" s="142"/>
      <c r="G21" s="135"/>
      <c r="H21" s="135"/>
      <c r="I21" s="147"/>
      <c r="J21" s="148" t="s">
        <v>85</v>
      </c>
      <c r="K21" s="149"/>
      <c r="L21" s="137" t="s">
        <v>86</v>
      </c>
      <c r="M21" s="142"/>
      <c r="N21" s="142"/>
      <c r="O21" s="143"/>
      <c r="P21" s="143"/>
      <c r="Q21" s="7"/>
    </row>
    <row r="22" spans="2:17" ht="18" customHeight="1">
      <c r="B22" s="135"/>
      <c r="C22" s="150" t="s">
        <v>87</v>
      </c>
      <c r="D22" s="49" t="str">
        <f>Invoerenduet!$E$6</f>
        <v>Caramba</v>
      </c>
      <c r="E22" s="151"/>
      <c r="F22" s="142"/>
      <c r="G22" s="135"/>
      <c r="H22" s="135"/>
      <c r="I22" s="147"/>
      <c r="J22" s="106"/>
      <c r="K22" s="152"/>
      <c r="L22" s="142"/>
      <c r="M22" s="148" t="s">
        <v>88</v>
      </c>
      <c r="N22" s="142">
        <f>Invoerenduet!$C$2</f>
        <v>50</v>
      </c>
      <c r="O22" s="153" t="s">
        <v>81</v>
      </c>
      <c r="P22" s="154"/>
      <c r="Q22" s="7">
        <f>Invoerenduet!$V$6</f>
        <v>2</v>
      </c>
    </row>
    <row r="23" spans="2:17" ht="18" customHeight="1">
      <c r="B23" s="135"/>
      <c r="C23" s="150" t="s">
        <v>89</v>
      </c>
      <c r="D23" s="49" t="str">
        <f>Invoerenduet!$F$6</f>
        <v>Synchroteam Hellas Glana</v>
      </c>
      <c r="E23" s="151"/>
      <c r="F23" s="142"/>
      <c r="G23" s="135"/>
      <c r="H23" s="135"/>
      <c r="I23" s="155"/>
      <c r="J23" s="106"/>
      <c r="K23" s="152"/>
      <c r="L23" s="142"/>
      <c r="M23" s="156" t="s">
        <v>17</v>
      </c>
      <c r="N23" s="142"/>
      <c r="O23" s="142"/>
      <c r="P23" s="143">
        <f>P17+P18</f>
        <v>22.4545</v>
      </c>
      <c r="Q23" s="157"/>
    </row>
    <row r="24" spans="2:17" ht="18" customHeight="1">
      <c r="B24" s="11"/>
      <c r="C24" s="158"/>
      <c r="D24" s="151"/>
      <c r="E24" s="158"/>
      <c r="F24" s="11"/>
      <c r="G24" s="11"/>
      <c r="H24" s="11"/>
      <c r="I24" s="11"/>
      <c r="J24" s="11"/>
      <c r="K24" s="11"/>
      <c r="L24" s="11"/>
      <c r="M24" s="159"/>
      <c r="N24" s="160"/>
      <c r="O24" s="158"/>
      <c r="P24" s="158"/>
      <c r="Q24" s="11"/>
    </row>
    <row r="25" spans="2:17" ht="18" customHeight="1">
      <c r="B25" s="155">
        <f>Invoerenduet!$A$7</f>
        <v>3</v>
      </c>
      <c r="C25" s="161" t="str">
        <f>Invoerenduet!$D$7</f>
        <v>ZC Eijsden</v>
      </c>
      <c r="D25" s="125" t="str">
        <f>Invoerenduet!$Q$7</f>
        <v>Limburg</v>
      </c>
      <c r="E25" s="126">
        <v>0.3</v>
      </c>
      <c r="F25" s="162"/>
      <c r="G25" s="162"/>
      <c r="H25" s="162"/>
      <c r="I25" s="163"/>
      <c r="J25" s="163"/>
      <c r="K25" s="136"/>
      <c r="L25" s="130" t="s">
        <v>79</v>
      </c>
      <c r="M25" s="164" t="s">
        <v>80</v>
      </c>
      <c r="N25" s="165">
        <f>Invoerenduet!$C$1</f>
        <v>50</v>
      </c>
      <c r="O25" s="166" t="s">
        <v>81</v>
      </c>
      <c r="P25" s="167">
        <f>ROUND(Invoerenduet!$BX$7*Invoerenduet!$C$1/100,4)</f>
        <v>21.4212</v>
      </c>
      <c r="Q25" s="49">
        <f>Invoerenduet!$CB$7</f>
        <v>3</v>
      </c>
    </row>
    <row r="26" spans="2:17" ht="18" customHeight="1">
      <c r="B26" s="135" t="str">
        <f>Invoerenduet!$I$7</f>
        <v>x</v>
      </c>
      <c r="C26" s="135" t="str">
        <f>Invoerenduet!$G$7</f>
        <v>Myrthe Huysmans</v>
      </c>
      <c r="D26" s="135">
        <f>Invoerenduet!$H$7</f>
        <v>200201940</v>
      </c>
      <c r="E26" s="126">
        <v>0.4</v>
      </c>
      <c r="F26" s="127"/>
      <c r="G26" s="127"/>
      <c r="H26" s="127"/>
      <c r="I26" s="128"/>
      <c r="J26" s="128"/>
      <c r="K26" s="136"/>
      <c r="L26" s="137" t="s">
        <v>82</v>
      </c>
      <c r="M26" s="138" t="s">
        <v>83</v>
      </c>
      <c r="N26" s="139">
        <f>Invoerenduet!$C$3</f>
        <v>0</v>
      </c>
      <c r="O26" s="140" t="s">
        <v>81</v>
      </c>
      <c r="P26" s="141">
        <f>ROUND(Invoerenduet!$S$7*Invoerenduet!$C$3/100,4)</f>
        <v>0</v>
      </c>
      <c r="Q26" s="7">
        <f>Invoerenduet!$T$7</f>
      </c>
    </row>
    <row r="27" spans="2:17" ht="18" customHeight="1">
      <c r="B27" s="135" t="str">
        <f>Invoerenduet!$L$7</f>
        <v>x</v>
      </c>
      <c r="C27" s="135" t="str">
        <f>Invoerenduet!$J$7</f>
        <v>Jill Mourmans</v>
      </c>
      <c r="D27" s="135">
        <f>Invoerenduet!$K$7</f>
        <v>200300794</v>
      </c>
      <c r="E27" s="126">
        <v>0.3</v>
      </c>
      <c r="F27" s="127"/>
      <c r="G27" s="127"/>
      <c r="H27" s="127"/>
      <c r="I27" s="128"/>
      <c r="J27" s="128"/>
      <c r="K27" s="136"/>
      <c r="L27" s="137" t="s">
        <v>84</v>
      </c>
      <c r="M27" s="142"/>
      <c r="N27" s="142"/>
      <c r="O27" s="143"/>
      <c r="P27" s="143"/>
      <c r="Q27" s="7"/>
    </row>
    <row r="28" spans="2:17" ht="18" customHeight="1">
      <c r="B28" s="135">
        <f>Invoerenduet!$O$7</f>
        <v>0</v>
      </c>
      <c r="C28" s="135">
        <f>Invoerenduet!$M$7</f>
        <v>0</v>
      </c>
      <c r="D28" s="135">
        <f>Invoerenduet!$N$7</f>
        <v>0</v>
      </c>
      <c r="E28" s="142"/>
      <c r="F28" s="142"/>
      <c r="G28" s="144"/>
      <c r="H28" s="144"/>
      <c r="I28" s="145"/>
      <c r="J28" s="145"/>
      <c r="K28" s="146">
        <f>SUM(K25:K27)</f>
        <v>0</v>
      </c>
      <c r="L28" s="142"/>
      <c r="M28" s="142"/>
      <c r="N28" s="142"/>
      <c r="O28" s="143"/>
      <c r="P28" s="143"/>
      <c r="Q28" s="7"/>
    </row>
    <row r="29" spans="2:17" ht="18" customHeight="1">
      <c r="B29" s="135"/>
      <c r="C29" s="135"/>
      <c r="D29" s="135"/>
      <c r="E29" s="142"/>
      <c r="F29" s="142"/>
      <c r="G29" s="135"/>
      <c r="H29" s="135"/>
      <c r="I29" s="147"/>
      <c r="J29" s="148" t="s">
        <v>85</v>
      </c>
      <c r="K29" s="149"/>
      <c r="L29" s="137" t="s">
        <v>86</v>
      </c>
      <c r="M29" s="142"/>
      <c r="N29" s="142"/>
      <c r="O29" s="143"/>
      <c r="P29" s="143"/>
      <c r="Q29" s="7"/>
    </row>
    <row r="30" spans="2:17" ht="18" customHeight="1">
      <c r="B30" s="135"/>
      <c r="C30" s="150" t="s">
        <v>87</v>
      </c>
      <c r="D30" s="49" t="str">
        <f>Invoerenduet!$E$7</f>
        <v>Limbo</v>
      </c>
      <c r="E30" s="151"/>
      <c r="F30" s="142"/>
      <c r="G30" s="135"/>
      <c r="H30" s="135"/>
      <c r="I30" s="147"/>
      <c r="J30" s="106"/>
      <c r="K30" s="152"/>
      <c r="L30" s="142"/>
      <c r="M30" s="148" t="s">
        <v>88</v>
      </c>
      <c r="N30" s="142">
        <f>Invoerenduet!$C$2</f>
        <v>50</v>
      </c>
      <c r="O30" s="153" t="s">
        <v>81</v>
      </c>
      <c r="P30" s="154"/>
      <c r="Q30" s="7">
        <f>Invoerenduet!$V$7</f>
        <v>1</v>
      </c>
    </row>
    <row r="31" spans="2:17" ht="18" customHeight="1">
      <c r="B31" s="135"/>
      <c r="C31" s="150" t="s">
        <v>89</v>
      </c>
      <c r="D31" s="49" t="str">
        <f>Invoerenduet!$F$7</f>
        <v>Evelien Wolfs</v>
      </c>
      <c r="E31" s="151"/>
      <c r="F31" s="142"/>
      <c r="G31" s="135"/>
      <c r="H31" s="135"/>
      <c r="I31" s="155"/>
      <c r="J31" s="106"/>
      <c r="K31" s="152"/>
      <c r="L31" s="142"/>
      <c r="M31" s="156" t="s">
        <v>17</v>
      </c>
      <c r="N31" s="142"/>
      <c r="O31" s="142"/>
      <c r="P31" s="143">
        <f>P25+P26</f>
        <v>21.4212</v>
      </c>
      <c r="Q31" s="157"/>
    </row>
    <row r="32" spans="2:17" ht="18" customHeight="1">
      <c r="B32" s="11"/>
      <c r="C32" s="158"/>
      <c r="D32" s="151"/>
      <c r="E32" s="158"/>
      <c r="F32" s="11"/>
      <c r="G32" s="11"/>
      <c r="H32" s="11"/>
      <c r="I32" s="11"/>
      <c r="J32" s="11"/>
      <c r="K32" s="11"/>
      <c r="L32" s="11"/>
      <c r="M32" s="159"/>
      <c r="N32" s="160"/>
      <c r="O32" s="158"/>
      <c r="P32" s="158"/>
      <c r="Q32" s="11"/>
    </row>
    <row r="33" spans="2:17" ht="18" customHeight="1">
      <c r="B33" s="155">
        <f>Invoerenduet!$A$8</f>
        <v>4</v>
      </c>
      <c r="C33" s="161">
        <f>Invoerenduet!$D$8</f>
        <v>0</v>
      </c>
      <c r="D33" s="125">
        <f>Invoerenduet!$Q$8</f>
        <v>0</v>
      </c>
      <c r="E33" s="126">
        <v>0.3</v>
      </c>
      <c r="F33" s="162"/>
      <c r="G33" s="162"/>
      <c r="H33" s="162"/>
      <c r="I33" s="163"/>
      <c r="J33" s="163"/>
      <c r="K33" s="136"/>
      <c r="L33" s="130" t="s">
        <v>79</v>
      </c>
      <c r="M33" s="164" t="s">
        <v>80</v>
      </c>
      <c r="N33" s="165">
        <f>Invoerenduet!$C$1</f>
        <v>50</v>
      </c>
      <c r="O33" s="166" t="s">
        <v>81</v>
      </c>
      <c r="P33" s="167">
        <f>ROUND(Invoerenduet!$BX$8*Invoerenduet!$C$1/100,4)</f>
        <v>0</v>
      </c>
      <c r="Q33" s="49">
        <f>Invoerenduet!$CB$8</f>
      </c>
    </row>
    <row r="34" spans="2:17" ht="18" customHeight="1">
      <c r="B34" s="135">
        <f>Invoerenduet!$I$8</f>
        <v>0</v>
      </c>
      <c r="C34" s="135">
        <f>Invoerenduet!$G$8</f>
        <v>0</v>
      </c>
      <c r="D34" s="135">
        <f>Invoerenduet!$H$8</f>
        <v>0</v>
      </c>
      <c r="E34" s="126">
        <v>0.4</v>
      </c>
      <c r="F34" s="127"/>
      <c r="G34" s="127"/>
      <c r="H34" s="127"/>
      <c r="I34" s="128"/>
      <c r="J34" s="128"/>
      <c r="K34" s="136"/>
      <c r="L34" s="137" t="s">
        <v>82</v>
      </c>
      <c r="M34" s="138" t="s">
        <v>83</v>
      </c>
      <c r="N34" s="139">
        <f>Invoerenduet!$C$3</f>
        <v>0</v>
      </c>
      <c r="O34" s="140" t="s">
        <v>81</v>
      </c>
      <c r="P34" s="141">
        <f>ROUND(Invoerenduet!$S$8*Invoerenduet!$C$3/100,4)</f>
        <v>0</v>
      </c>
      <c r="Q34" s="7">
        <f>Invoerenduet!$T$8</f>
      </c>
    </row>
    <row r="35" spans="2:17" ht="18" customHeight="1">
      <c r="B35" s="135">
        <f>Invoerenduet!$L$8</f>
        <v>0</v>
      </c>
      <c r="C35" s="135">
        <f>Invoerenduet!$J$8</f>
        <v>0</v>
      </c>
      <c r="D35" s="135">
        <f>Invoerenduet!$K$8</f>
        <v>0</v>
      </c>
      <c r="E35" s="126">
        <v>0.3</v>
      </c>
      <c r="F35" s="127"/>
      <c r="G35" s="127"/>
      <c r="H35" s="127"/>
      <c r="I35" s="128"/>
      <c r="J35" s="128"/>
      <c r="K35" s="136"/>
      <c r="L35" s="137" t="s">
        <v>84</v>
      </c>
      <c r="M35" s="142"/>
      <c r="N35" s="142"/>
      <c r="O35" s="143"/>
      <c r="P35" s="143"/>
      <c r="Q35" s="7"/>
    </row>
    <row r="36" spans="2:17" ht="18" customHeight="1">
      <c r="B36" s="135">
        <f>Invoerenduet!$O$8</f>
        <v>0</v>
      </c>
      <c r="C36" s="135">
        <f>Invoerenduet!$M$8</f>
        <v>0</v>
      </c>
      <c r="D36" s="135">
        <f>Invoerenduet!$N$8</f>
        <v>0</v>
      </c>
      <c r="E36" s="142"/>
      <c r="F36" s="142"/>
      <c r="G36" s="144"/>
      <c r="H36" s="144"/>
      <c r="I36" s="145"/>
      <c r="J36" s="145"/>
      <c r="K36" s="146">
        <f>SUM(K33:K35)</f>
        <v>0</v>
      </c>
      <c r="L36" s="142"/>
      <c r="M36" s="142"/>
      <c r="N36" s="142"/>
      <c r="O36" s="143"/>
      <c r="P36" s="143"/>
      <c r="Q36" s="7"/>
    </row>
    <row r="37" spans="2:17" ht="18" customHeight="1">
      <c r="B37" s="135"/>
      <c r="C37" s="135"/>
      <c r="D37" s="135"/>
      <c r="E37" s="142"/>
      <c r="F37" s="142"/>
      <c r="G37" s="135"/>
      <c r="H37" s="135"/>
      <c r="I37" s="147"/>
      <c r="J37" s="148" t="s">
        <v>85</v>
      </c>
      <c r="K37" s="149"/>
      <c r="L37" s="137" t="s">
        <v>86</v>
      </c>
      <c r="M37" s="142"/>
      <c r="N37" s="142"/>
      <c r="O37" s="143"/>
      <c r="P37" s="143"/>
      <c r="Q37" s="7"/>
    </row>
    <row r="38" spans="2:17" ht="18" customHeight="1">
      <c r="B38" s="135"/>
      <c r="C38" s="150" t="s">
        <v>87</v>
      </c>
      <c r="D38" s="49">
        <f>Invoerenduet!$E$8</f>
        <v>0</v>
      </c>
      <c r="E38" s="151"/>
      <c r="F38" s="142"/>
      <c r="G38" s="135"/>
      <c r="H38" s="135"/>
      <c r="I38" s="147"/>
      <c r="J38" s="106"/>
      <c r="K38" s="152"/>
      <c r="L38" s="142"/>
      <c r="M38" s="148" t="s">
        <v>88</v>
      </c>
      <c r="N38" s="142">
        <f>Invoerenduet!$C$2</f>
        <v>50</v>
      </c>
      <c r="O38" s="153" t="s">
        <v>81</v>
      </c>
      <c r="P38" s="154"/>
      <c r="Q38" s="7">
        <f>Invoerenduet!$V$8</f>
      </c>
    </row>
    <row r="39" spans="2:17" ht="18" customHeight="1">
      <c r="B39" s="135"/>
      <c r="C39" s="150" t="s">
        <v>89</v>
      </c>
      <c r="D39" s="49">
        <f>Invoerenduet!$F$8</f>
        <v>0</v>
      </c>
      <c r="E39" s="151"/>
      <c r="F39" s="142"/>
      <c r="G39" s="135"/>
      <c r="H39" s="135"/>
      <c r="I39" s="155"/>
      <c r="J39" s="106"/>
      <c r="K39" s="152"/>
      <c r="L39" s="142"/>
      <c r="M39" s="156" t="s">
        <v>17</v>
      </c>
      <c r="N39" s="142"/>
      <c r="O39" s="142"/>
      <c r="P39" s="143">
        <f>P33+P34</f>
        <v>0</v>
      </c>
      <c r="Q39" s="157"/>
    </row>
    <row r="40" spans="2:17" ht="18" customHeight="1">
      <c r="B40" s="11"/>
      <c r="C40" s="158"/>
      <c r="D40" s="151"/>
      <c r="E40" s="158"/>
      <c r="F40" s="11"/>
      <c r="G40" s="11"/>
      <c r="H40" s="11"/>
      <c r="I40" s="11"/>
      <c r="J40" s="11"/>
      <c r="K40" s="11"/>
      <c r="L40" s="11"/>
      <c r="M40" s="159"/>
      <c r="N40" s="160"/>
      <c r="O40" s="158"/>
      <c r="P40" s="158"/>
      <c r="Q40" s="11"/>
    </row>
    <row r="41" spans="2:17" ht="18" customHeight="1">
      <c r="B41" s="155">
        <f>Invoerenduet!$A$9</f>
        <v>5</v>
      </c>
      <c r="C41" s="161">
        <f>Invoerenduet!$D$9</f>
        <v>0</v>
      </c>
      <c r="D41" s="125">
        <f>Invoerenduet!$Q$9</f>
        <v>0</v>
      </c>
      <c r="E41" s="126">
        <v>0.3</v>
      </c>
      <c r="F41" s="162"/>
      <c r="G41" s="162"/>
      <c r="H41" s="162"/>
      <c r="I41" s="163"/>
      <c r="J41" s="163"/>
      <c r="K41" s="136"/>
      <c r="L41" s="130" t="s">
        <v>79</v>
      </c>
      <c r="M41" s="164" t="s">
        <v>80</v>
      </c>
      <c r="N41" s="165">
        <f>Invoerenduet!$C$1</f>
        <v>50</v>
      </c>
      <c r="O41" s="166" t="s">
        <v>81</v>
      </c>
      <c r="P41" s="167">
        <f>ROUND(Invoerenduet!$BX$9*Invoerenduet!$C$1/100,4)</f>
        <v>0</v>
      </c>
      <c r="Q41" s="49">
        <f>Invoerenduet!$CB$9</f>
      </c>
    </row>
    <row r="42" spans="2:17" ht="18" customHeight="1">
      <c r="B42" s="135">
        <f>Invoerenduet!$I$9</f>
        <v>0</v>
      </c>
      <c r="C42" s="135">
        <f>Invoerenduet!$G$9</f>
        <v>0</v>
      </c>
      <c r="D42" s="135">
        <f>Invoerenduet!$H$9</f>
        <v>0</v>
      </c>
      <c r="E42" s="126">
        <v>0.4</v>
      </c>
      <c r="F42" s="127"/>
      <c r="G42" s="127"/>
      <c r="H42" s="127"/>
      <c r="I42" s="128"/>
      <c r="J42" s="128"/>
      <c r="K42" s="136"/>
      <c r="L42" s="137" t="s">
        <v>82</v>
      </c>
      <c r="M42" s="138" t="s">
        <v>83</v>
      </c>
      <c r="N42" s="139">
        <f>Invoerenduet!$C$3</f>
        <v>0</v>
      </c>
      <c r="O42" s="140" t="s">
        <v>81</v>
      </c>
      <c r="P42" s="141">
        <f>ROUND(Invoerenduet!$S$9*Invoerenduet!$C$3/100,4)</f>
        <v>0</v>
      </c>
      <c r="Q42" s="7">
        <f>Invoerenduet!$T$9</f>
      </c>
    </row>
    <row r="43" spans="2:17" ht="18" customHeight="1">
      <c r="B43" s="135">
        <f>Invoerenduet!$L$9</f>
        <v>0</v>
      </c>
      <c r="C43" s="135">
        <f>Invoerenduet!$J$9</f>
        <v>0</v>
      </c>
      <c r="D43" s="135">
        <f>Invoerenduet!$K$9</f>
        <v>0</v>
      </c>
      <c r="E43" s="126">
        <v>0.3</v>
      </c>
      <c r="F43" s="127"/>
      <c r="G43" s="127"/>
      <c r="H43" s="127"/>
      <c r="I43" s="128"/>
      <c r="J43" s="128"/>
      <c r="K43" s="136"/>
      <c r="L43" s="137" t="s">
        <v>84</v>
      </c>
      <c r="M43" s="142"/>
      <c r="N43" s="142"/>
      <c r="O43" s="143"/>
      <c r="P43" s="143"/>
      <c r="Q43" s="7"/>
    </row>
    <row r="44" spans="2:17" ht="18" customHeight="1">
      <c r="B44" s="135">
        <f>Invoerenduet!$O$9</f>
        <v>0</v>
      </c>
      <c r="C44" s="135">
        <f>Invoerenduet!$M$9</f>
        <v>0</v>
      </c>
      <c r="D44" s="135">
        <f>Invoerenduet!$N$9</f>
        <v>0</v>
      </c>
      <c r="E44" s="142"/>
      <c r="F44" s="142"/>
      <c r="G44" s="144"/>
      <c r="H44" s="144"/>
      <c r="I44" s="145"/>
      <c r="J44" s="145"/>
      <c r="K44" s="146">
        <f>SUM(K41:K43)</f>
        <v>0</v>
      </c>
      <c r="L44" s="142"/>
      <c r="M44" s="142"/>
      <c r="N44" s="142"/>
      <c r="O44" s="143"/>
      <c r="P44" s="143"/>
      <c r="Q44" s="7"/>
    </row>
    <row r="45" spans="2:17" ht="18" customHeight="1">
      <c r="B45" s="135"/>
      <c r="C45" s="135"/>
      <c r="D45" s="135"/>
      <c r="E45" s="142"/>
      <c r="F45" s="142"/>
      <c r="G45" s="135"/>
      <c r="H45" s="135"/>
      <c r="I45" s="147"/>
      <c r="J45" s="148" t="s">
        <v>85</v>
      </c>
      <c r="K45" s="149"/>
      <c r="L45" s="137" t="s">
        <v>86</v>
      </c>
      <c r="M45" s="142"/>
      <c r="N45" s="142"/>
      <c r="O45" s="143"/>
      <c r="P45" s="143"/>
      <c r="Q45" s="7"/>
    </row>
    <row r="46" spans="2:17" ht="18" customHeight="1">
      <c r="B46" s="135"/>
      <c r="C46" s="150" t="s">
        <v>87</v>
      </c>
      <c r="D46" s="49">
        <f>Invoerenduet!$E$9</f>
        <v>0</v>
      </c>
      <c r="E46" s="151"/>
      <c r="F46" s="142"/>
      <c r="G46" s="135"/>
      <c r="H46" s="135"/>
      <c r="I46" s="147"/>
      <c r="J46" s="106"/>
      <c r="K46" s="152"/>
      <c r="L46" s="142"/>
      <c r="M46" s="148" t="s">
        <v>88</v>
      </c>
      <c r="N46" s="142">
        <f>Invoerenduet!$C$2</f>
        <v>50</v>
      </c>
      <c r="O46" s="153" t="s">
        <v>81</v>
      </c>
      <c r="P46" s="154"/>
      <c r="Q46" s="7">
        <f>Invoerenduet!$V$9</f>
      </c>
    </row>
    <row r="47" spans="2:17" ht="18" customHeight="1">
      <c r="B47" s="135"/>
      <c r="C47" s="150" t="s">
        <v>89</v>
      </c>
      <c r="D47" s="49">
        <f>Invoerenduet!$F$9</f>
        <v>0</v>
      </c>
      <c r="E47" s="151"/>
      <c r="F47" s="142"/>
      <c r="G47" s="135"/>
      <c r="H47" s="135"/>
      <c r="I47" s="155"/>
      <c r="J47" s="106"/>
      <c r="K47" s="152"/>
      <c r="L47" s="142"/>
      <c r="M47" s="156" t="s">
        <v>17</v>
      </c>
      <c r="N47" s="142"/>
      <c r="O47" s="142"/>
      <c r="P47" s="143">
        <f>P41+P42</f>
        <v>0</v>
      </c>
      <c r="Q47" s="157"/>
    </row>
    <row r="48" spans="2:17" ht="18" customHeight="1">
      <c r="B48" s="11"/>
      <c r="C48" s="158"/>
      <c r="D48" s="151"/>
      <c r="E48" s="158"/>
      <c r="F48" s="11"/>
      <c r="G48" s="11"/>
      <c r="H48" s="11"/>
      <c r="I48" s="11"/>
      <c r="J48" s="11"/>
      <c r="K48" s="11"/>
      <c r="L48" s="11"/>
      <c r="M48" s="159"/>
      <c r="N48" s="160"/>
      <c r="O48" s="158"/>
      <c r="P48" s="158"/>
      <c r="Q48" s="11"/>
    </row>
    <row r="49" spans="2:17" ht="18" customHeight="1">
      <c r="B49" s="155">
        <f>Invoerenduet!$A$10</f>
        <v>6</v>
      </c>
      <c r="C49" s="161">
        <f>Invoerenduet!$D$10</f>
        <v>0</v>
      </c>
      <c r="D49" s="125">
        <f>Invoerenduet!$Q$10</f>
        <v>0</v>
      </c>
      <c r="E49" s="126">
        <v>0.3</v>
      </c>
      <c r="F49" s="162"/>
      <c r="G49" s="162"/>
      <c r="H49" s="162"/>
      <c r="I49" s="163"/>
      <c r="J49" s="163"/>
      <c r="K49" s="136"/>
      <c r="L49" s="130" t="s">
        <v>79</v>
      </c>
      <c r="M49" s="164" t="s">
        <v>80</v>
      </c>
      <c r="N49" s="165">
        <f>Invoerenduet!$C$1</f>
        <v>50</v>
      </c>
      <c r="O49" s="166" t="s">
        <v>81</v>
      </c>
      <c r="P49" s="167">
        <f>ROUND(Invoerenduet!$BX$10*Invoerenduet!$C$1/100,4)</f>
        <v>0</v>
      </c>
      <c r="Q49" s="49">
        <f>Invoerenduet!$CB$10</f>
      </c>
    </row>
    <row r="50" spans="2:17" ht="18" customHeight="1">
      <c r="B50" s="135">
        <f>Invoerenduet!$I$10</f>
        <v>0</v>
      </c>
      <c r="C50" s="135">
        <f>Invoerenduet!$G$10</f>
        <v>0</v>
      </c>
      <c r="D50" s="135">
        <f>Invoerenduet!$H$10</f>
        <v>0</v>
      </c>
      <c r="E50" s="126">
        <v>0.4</v>
      </c>
      <c r="F50" s="127"/>
      <c r="G50" s="127"/>
      <c r="H50" s="127"/>
      <c r="I50" s="128"/>
      <c r="J50" s="128"/>
      <c r="K50" s="136"/>
      <c r="L50" s="137" t="s">
        <v>82</v>
      </c>
      <c r="M50" s="138" t="s">
        <v>83</v>
      </c>
      <c r="N50" s="139">
        <f>Invoerenduet!$C$3</f>
        <v>0</v>
      </c>
      <c r="O50" s="140" t="s">
        <v>81</v>
      </c>
      <c r="P50" s="141">
        <f>ROUND(Invoerenduet!$S$10*Invoerenduet!$C$3/100,4)</f>
        <v>0</v>
      </c>
      <c r="Q50" s="7">
        <f>Invoerenduet!$T$10</f>
      </c>
    </row>
    <row r="51" spans="2:17" ht="18" customHeight="1">
      <c r="B51" s="135">
        <f>Invoerenduet!$L$10</f>
        <v>0</v>
      </c>
      <c r="C51" s="135">
        <f>Invoerenduet!$J$10</f>
        <v>0</v>
      </c>
      <c r="D51" s="135">
        <f>Invoerenduet!$K$10</f>
        <v>0</v>
      </c>
      <c r="E51" s="126">
        <v>0.3</v>
      </c>
      <c r="F51" s="127"/>
      <c r="G51" s="127"/>
      <c r="H51" s="127"/>
      <c r="I51" s="128"/>
      <c r="J51" s="128"/>
      <c r="K51" s="136"/>
      <c r="L51" s="137" t="s">
        <v>84</v>
      </c>
      <c r="M51" s="142"/>
      <c r="N51" s="142"/>
      <c r="O51" s="143"/>
      <c r="P51" s="143"/>
      <c r="Q51" s="7"/>
    </row>
    <row r="52" spans="2:17" ht="18" customHeight="1">
      <c r="B52" s="135">
        <f>Invoerenduet!$O$10</f>
        <v>0</v>
      </c>
      <c r="C52" s="135">
        <f>Invoerenduet!$M$10</f>
        <v>0</v>
      </c>
      <c r="D52" s="135">
        <f>Invoerenduet!$N$10</f>
        <v>0</v>
      </c>
      <c r="E52" s="142"/>
      <c r="F52" s="142"/>
      <c r="G52" s="144"/>
      <c r="H52" s="144"/>
      <c r="I52" s="145"/>
      <c r="J52" s="145"/>
      <c r="K52" s="146">
        <f>SUM(K49:K51)</f>
        <v>0</v>
      </c>
      <c r="L52" s="142"/>
      <c r="M52" s="142"/>
      <c r="N52" s="142"/>
      <c r="O52" s="143"/>
      <c r="P52" s="143"/>
      <c r="Q52" s="7"/>
    </row>
    <row r="53" spans="2:17" ht="18" customHeight="1">
      <c r="B53" s="135"/>
      <c r="C53" s="135"/>
      <c r="D53" s="135"/>
      <c r="E53" s="142"/>
      <c r="F53" s="142"/>
      <c r="G53" s="135"/>
      <c r="H53" s="135"/>
      <c r="I53" s="147"/>
      <c r="J53" s="148" t="s">
        <v>85</v>
      </c>
      <c r="K53" s="149"/>
      <c r="L53" s="137" t="s">
        <v>86</v>
      </c>
      <c r="M53" s="142"/>
      <c r="N53" s="142"/>
      <c r="O53" s="143"/>
      <c r="P53" s="143"/>
      <c r="Q53" s="7"/>
    </row>
    <row r="54" spans="2:17" ht="18" customHeight="1">
      <c r="B54" s="135"/>
      <c r="C54" s="150" t="s">
        <v>87</v>
      </c>
      <c r="D54" s="49">
        <f>Invoerenduet!$E$10</f>
        <v>0</v>
      </c>
      <c r="E54" s="151"/>
      <c r="F54" s="142"/>
      <c r="G54" s="135"/>
      <c r="H54" s="135"/>
      <c r="I54" s="147"/>
      <c r="J54" s="106"/>
      <c r="K54" s="152"/>
      <c r="L54" s="142"/>
      <c r="M54" s="148" t="s">
        <v>88</v>
      </c>
      <c r="N54" s="142">
        <f>Invoerenduet!$C$2</f>
        <v>50</v>
      </c>
      <c r="O54" s="153" t="s">
        <v>81</v>
      </c>
      <c r="P54" s="154"/>
      <c r="Q54" s="7">
        <f>Invoerenduet!$V$10</f>
      </c>
    </row>
    <row r="55" spans="2:17" ht="18" customHeight="1">
      <c r="B55" s="135"/>
      <c r="C55" s="150" t="s">
        <v>89</v>
      </c>
      <c r="D55" s="49">
        <f>Invoerenduet!$F$10</f>
        <v>0</v>
      </c>
      <c r="E55" s="151"/>
      <c r="F55" s="142"/>
      <c r="G55" s="135"/>
      <c r="H55" s="135"/>
      <c r="I55" s="155"/>
      <c r="J55" s="106"/>
      <c r="K55" s="152"/>
      <c r="L55" s="142"/>
      <c r="M55" s="156" t="s">
        <v>17</v>
      </c>
      <c r="N55" s="142"/>
      <c r="O55" s="142"/>
      <c r="P55" s="143">
        <f>P49+P50</f>
        <v>0</v>
      </c>
      <c r="Q55" s="157"/>
    </row>
    <row r="56" spans="2:17" ht="18" customHeight="1">
      <c r="B56" s="11"/>
      <c r="C56" s="158"/>
      <c r="D56" s="151"/>
      <c r="E56" s="158"/>
      <c r="F56" s="11"/>
      <c r="G56" s="11"/>
      <c r="H56" s="11"/>
      <c r="I56" s="11"/>
      <c r="J56" s="11"/>
      <c r="K56" s="11"/>
      <c r="L56" s="11"/>
      <c r="M56" s="159"/>
      <c r="N56" s="160"/>
      <c r="O56" s="158"/>
      <c r="P56" s="158"/>
      <c r="Q56" s="11"/>
    </row>
    <row r="57" spans="2:17" ht="18" customHeight="1">
      <c r="B57" s="155">
        <f>Invoerenduet!$A$11</f>
        <v>7</v>
      </c>
      <c r="C57" s="161">
        <f>Invoerenduet!$D$11</f>
        <v>0</v>
      </c>
      <c r="D57" s="125">
        <f>Invoerenduet!$Q$11</f>
        <v>0</v>
      </c>
      <c r="E57" s="126">
        <v>0.3</v>
      </c>
      <c r="F57" s="162"/>
      <c r="G57" s="162"/>
      <c r="H57" s="162"/>
      <c r="I57" s="163"/>
      <c r="J57" s="163"/>
      <c r="K57" s="136"/>
      <c r="L57" s="130" t="s">
        <v>79</v>
      </c>
      <c r="M57" s="164" t="s">
        <v>80</v>
      </c>
      <c r="N57" s="165">
        <f>Invoerenduet!$C$1</f>
        <v>50</v>
      </c>
      <c r="O57" s="166" t="s">
        <v>81</v>
      </c>
      <c r="P57" s="167">
        <f>ROUND(Invoerenduet!$BX$11*Invoerenduet!$C$1/100,4)</f>
        <v>0</v>
      </c>
      <c r="Q57" s="49">
        <f>Invoerenduet!$CB$11</f>
      </c>
    </row>
    <row r="58" spans="2:17" ht="18" customHeight="1">
      <c r="B58" s="135">
        <f>Invoerenduet!$I$11</f>
        <v>0</v>
      </c>
      <c r="C58" s="135">
        <f>Invoerenduet!$G$11</f>
        <v>0</v>
      </c>
      <c r="D58" s="135">
        <f>Invoerenduet!$H$11</f>
        <v>0</v>
      </c>
      <c r="E58" s="126">
        <v>0.4</v>
      </c>
      <c r="F58" s="127"/>
      <c r="G58" s="127"/>
      <c r="H58" s="127"/>
      <c r="I58" s="128"/>
      <c r="J58" s="128"/>
      <c r="K58" s="136"/>
      <c r="L58" s="137" t="s">
        <v>82</v>
      </c>
      <c r="M58" s="138" t="s">
        <v>83</v>
      </c>
      <c r="N58" s="139">
        <f>Invoerenduet!$C$3</f>
        <v>0</v>
      </c>
      <c r="O58" s="140" t="s">
        <v>81</v>
      </c>
      <c r="P58" s="141">
        <f>ROUND(Invoerenduet!$S$11*Invoerenduet!$C$3/100,4)</f>
        <v>0</v>
      </c>
      <c r="Q58" s="7">
        <f>Invoerenduet!$T$11</f>
      </c>
    </row>
    <row r="59" spans="2:17" ht="18" customHeight="1">
      <c r="B59" s="135">
        <f>Invoerenduet!$L$11</f>
        <v>0</v>
      </c>
      <c r="C59" s="135">
        <f>Invoerenduet!$J$11</f>
        <v>0</v>
      </c>
      <c r="D59" s="135">
        <f>Invoerenduet!$K$11</f>
        <v>0</v>
      </c>
      <c r="E59" s="126">
        <v>0.3</v>
      </c>
      <c r="F59" s="127"/>
      <c r="G59" s="127"/>
      <c r="H59" s="127"/>
      <c r="I59" s="128"/>
      <c r="J59" s="128"/>
      <c r="K59" s="136"/>
      <c r="L59" s="137" t="s">
        <v>84</v>
      </c>
      <c r="M59" s="142"/>
      <c r="N59" s="142"/>
      <c r="O59" s="143"/>
      <c r="P59" s="143"/>
      <c r="Q59" s="7"/>
    </row>
    <row r="60" spans="2:17" ht="18" customHeight="1">
      <c r="B60" s="135">
        <f>Invoerenduet!$O$11</f>
        <v>0</v>
      </c>
      <c r="C60" s="135">
        <f>Invoerenduet!$M$11</f>
        <v>0</v>
      </c>
      <c r="D60" s="135">
        <f>Invoerenduet!$N$11</f>
        <v>0</v>
      </c>
      <c r="E60" s="142"/>
      <c r="F60" s="142"/>
      <c r="G60" s="144"/>
      <c r="H60" s="144"/>
      <c r="I60" s="145"/>
      <c r="J60" s="145"/>
      <c r="K60" s="146">
        <f>SUM(K57:K59)</f>
        <v>0</v>
      </c>
      <c r="L60" s="142"/>
      <c r="M60" s="142"/>
      <c r="N60" s="142"/>
      <c r="O60" s="143"/>
      <c r="P60" s="143"/>
      <c r="Q60" s="7"/>
    </row>
    <row r="61" spans="2:17" ht="18" customHeight="1">
      <c r="B61" s="135"/>
      <c r="C61" s="135"/>
      <c r="D61" s="135"/>
      <c r="E61" s="142"/>
      <c r="F61" s="142"/>
      <c r="G61" s="135"/>
      <c r="H61" s="135"/>
      <c r="I61" s="147"/>
      <c r="J61" s="148" t="s">
        <v>85</v>
      </c>
      <c r="K61" s="149"/>
      <c r="L61" s="137" t="s">
        <v>86</v>
      </c>
      <c r="M61" s="142"/>
      <c r="N61" s="142"/>
      <c r="O61" s="143"/>
      <c r="P61" s="143"/>
      <c r="Q61" s="7"/>
    </row>
    <row r="62" spans="2:17" ht="18" customHeight="1">
      <c r="B62" s="135"/>
      <c r="C62" s="150" t="s">
        <v>87</v>
      </c>
      <c r="D62" s="49">
        <f>Invoerenduet!$E$11</f>
        <v>0</v>
      </c>
      <c r="E62" s="151"/>
      <c r="F62" s="142"/>
      <c r="G62" s="135"/>
      <c r="H62" s="135"/>
      <c r="I62" s="147"/>
      <c r="J62" s="106"/>
      <c r="K62" s="152"/>
      <c r="L62" s="142"/>
      <c r="M62" s="148" t="s">
        <v>88</v>
      </c>
      <c r="N62" s="142">
        <f>Invoerenduet!$C$2</f>
        <v>50</v>
      </c>
      <c r="O62" s="153" t="s">
        <v>81</v>
      </c>
      <c r="P62" s="154"/>
      <c r="Q62" s="7">
        <f>Invoerenduet!$V$11</f>
      </c>
    </row>
    <row r="63" spans="2:17" ht="18" customHeight="1">
      <c r="B63" s="135"/>
      <c r="C63" s="150" t="s">
        <v>89</v>
      </c>
      <c r="D63" s="49">
        <f>Invoerenduet!$F$11</f>
        <v>0</v>
      </c>
      <c r="E63" s="151"/>
      <c r="F63" s="142"/>
      <c r="G63" s="135"/>
      <c r="H63" s="135"/>
      <c r="I63" s="155"/>
      <c r="J63" s="106"/>
      <c r="K63" s="152"/>
      <c r="L63" s="142"/>
      <c r="M63" s="156" t="s">
        <v>17</v>
      </c>
      <c r="N63" s="142"/>
      <c r="O63" s="142"/>
      <c r="P63" s="143">
        <f>P57+P58</f>
        <v>0</v>
      </c>
      <c r="Q63" s="157"/>
    </row>
    <row r="64" spans="2:17" ht="18" customHeight="1">
      <c r="B64" s="11"/>
      <c r="C64" s="158"/>
      <c r="D64" s="151"/>
      <c r="E64" s="158"/>
      <c r="F64" s="11"/>
      <c r="G64" s="11"/>
      <c r="H64" s="11"/>
      <c r="I64" s="11"/>
      <c r="J64" s="11"/>
      <c r="K64" s="11"/>
      <c r="L64" s="11"/>
      <c r="M64" s="159"/>
      <c r="N64" s="160"/>
      <c r="O64" s="158"/>
      <c r="P64" s="158"/>
      <c r="Q64" s="11"/>
    </row>
    <row r="65" spans="2:17" ht="18" customHeight="1">
      <c r="B65" s="155">
        <f>Invoerenduet!$A$12</f>
        <v>8</v>
      </c>
      <c r="C65" s="161">
        <f>Invoerenduet!$D$12</f>
        <v>0</v>
      </c>
      <c r="D65" s="125">
        <f>Invoerenduet!$Q$12</f>
        <v>0</v>
      </c>
      <c r="E65" s="126">
        <v>0.3</v>
      </c>
      <c r="F65" s="162"/>
      <c r="G65" s="162"/>
      <c r="H65" s="162"/>
      <c r="I65" s="163"/>
      <c r="J65" s="163"/>
      <c r="K65" s="136"/>
      <c r="L65" s="130" t="s">
        <v>79</v>
      </c>
      <c r="M65" s="164" t="s">
        <v>80</v>
      </c>
      <c r="N65" s="165">
        <f>Invoerenduet!$C$1</f>
        <v>50</v>
      </c>
      <c r="O65" s="166" t="s">
        <v>81</v>
      </c>
      <c r="P65" s="167">
        <f>ROUND(Invoerenduet!$BX$12*Invoerenduet!$C$1/100,4)</f>
        <v>0</v>
      </c>
      <c r="Q65" s="49">
        <f>Invoerenduet!$CB$12</f>
      </c>
    </row>
    <row r="66" spans="2:17" ht="18" customHeight="1">
      <c r="B66" s="135">
        <f>Invoerenduet!$I$12</f>
        <v>0</v>
      </c>
      <c r="C66" s="135">
        <f>Invoerenduet!$G$12</f>
        <v>0</v>
      </c>
      <c r="D66" s="135">
        <f>Invoerenduet!$H$12</f>
        <v>0</v>
      </c>
      <c r="E66" s="126">
        <v>0.4</v>
      </c>
      <c r="F66" s="127"/>
      <c r="G66" s="127"/>
      <c r="H66" s="127"/>
      <c r="I66" s="128"/>
      <c r="J66" s="128"/>
      <c r="K66" s="136"/>
      <c r="L66" s="137" t="s">
        <v>82</v>
      </c>
      <c r="M66" s="138" t="s">
        <v>83</v>
      </c>
      <c r="N66" s="139">
        <f>Invoerenduet!$C$3</f>
        <v>0</v>
      </c>
      <c r="O66" s="140" t="s">
        <v>81</v>
      </c>
      <c r="P66" s="141">
        <f>ROUND(Invoerenduet!$S$12*Invoerenduet!$C$3/100,4)</f>
        <v>0</v>
      </c>
      <c r="Q66" s="7">
        <f>Invoerenduet!$T$12</f>
      </c>
    </row>
    <row r="67" spans="2:17" ht="18" customHeight="1">
      <c r="B67" s="135">
        <f>Invoerenduet!$L$12</f>
        <v>0</v>
      </c>
      <c r="C67" s="135">
        <f>Invoerenduet!$J$12</f>
        <v>0</v>
      </c>
      <c r="D67" s="135">
        <f>Invoerenduet!$K$12</f>
        <v>0</v>
      </c>
      <c r="E67" s="126">
        <v>0.3</v>
      </c>
      <c r="F67" s="127"/>
      <c r="G67" s="127"/>
      <c r="H67" s="127"/>
      <c r="I67" s="128"/>
      <c r="J67" s="128"/>
      <c r="K67" s="136"/>
      <c r="L67" s="137" t="s">
        <v>84</v>
      </c>
      <c r="M67" s="142"/>
      <c r="N67" s="142"/>
      <c r="O67" s="143"/>
      <c r="P67" s="143"/>
      <c r="Q67" s="7"/>
    </row>
    <row r="68" spans="2:17" ht="18" customHeight="1">
      <c r="B68" s="135">
        <f>Invoerenduet!$O$12</f>
        <v>0</v>
      </c>
      <c r="C68" s="135">
        <f>Invoerenduet!$M$12</f>
        <v>0</v>
      </c>
      <c r="D68" s="135">
        <f>Invoerenduet!$N$12</f>
        <v>0</v>
      </c>
      <c r="E68" s="142"/>
      <c r="F68" s="142"/>
      <c r="G68" s="144"/>
      <c r="H68" s="144"/>
      <c r="I68" s="145"/>
      <c r="J68" s="145"/>
      <c r="K68" s="146">
        <f>SUM(K65:K67)</f>
        <v>0</v>
      </c>
      <c r="L68" s="142"/>
      <c r="M68" s="142"/>
      <c r="N68" s="142"/>
      <c r="O68" s="143"/>
      <c r="P68" s="143"/>
      <c r="Q68" s="7"/>
    </row>
    <row r="69" spans="2:17" ht="18" customHeight="1">
      <c r="B69" s="135"/>
      <c r="C69" s="135"/>
      <c r="D69" s="135"/>
      <c r="E69" s="142"/>
      <c r="F69" s="142"/>
      <c r="G69" s="135"/>
      <c r="H69" s="135"/>
      <c r="I69" s="147"/>
      <c r="J69" s="148" t="s">
        <v>85</v>
      </c>
      <c r="K69" s="149"/>
      <c r="L69" s="137" t="s">
        <v>86</v>
      </c>
      <c r="M69" s="142"/>
      <c r="N69" s="142"/>
      <c r="O69" s="143"/>
      <c r="P69" s="143"/>
      <c r="Q69" s="7"/>
    </row>
    <row r="70" spans="2:17" ht="18" customHeight="1">
      <c r="B70" s="135"/>
      <c r="C70" s="150" t="s">
        <v>87</v>
      </c>
      <c r="D70" s="49">
        <f>Invoerenduet!$E$12</f>
        <v>0</v>
      </c>
      <c r="E70" s="151"/>
      <c r="F70" s="142"/>
      <c r="G70" s="135"/>
      <c r="H70" s="135"/>
      <c r="I70" s="147"/>
      <c r="J70" s="106"/>
      <c r="K70" s="152"/>
      <c r="L70" s="142"/>
      <c r="M70" s="148" t="s">
        <v>88</v>
      </c>
      <c r="N70" s="142">
        <f>Invoerenduet!$C$2</f>
        <v>50</v>
      </c>
      <c r="O70" s="153" t="s">
        <v>81</v>
      </c>
      <c r="P70" s="154"/>
      <c r="Q70" s="7">
        <f>Invoerenduet!$V$12</f>
      </c>
    </row>
    <row r="71" spans="2:17" ht="18" customHeight="1">
      <c r="B71" s="135"/>
      <c r="C71" s="150" t="s">
        <v>89</v>
      </c>
      <c r="D71" s="49">
        <f>Invoerenduet!$F$12</f>
        <v>0</v>
      </c>
      <c r="E71" s="151"/>
      <c r="F71" s="142"/>
      <c r="G71" s="135"/>
      <c r="H71" s="135"/>
      <c r="I71" s="155"/>
      <c r="J71" s="106"/>
      <c r="K71" s="152"/>
      <c r="L71" s="142"/>
      <c r="M71" s="156" t="s">
        <v>17</v>
      </c>
      <c r="N71" s="142"/>
      <c r="O71" s="142"/>
      <c r="P71" s="143">
        <f>P65+P66</f>
        <v>0</v>
      </c>
      <c r="Q71" s="157"/>
    </row>
    <row r="72" spans="2:17" ht="18" customHeight="1">
      <c r="B72" s="11"/>
      <c r="C72" s="158"/>
      <c r="D72" s="151"/>
      <c r="E72" s="158"/>
      <c r="F72" s="11"/>
      <c r="G72" s="11"/>
      <c r="H72" s="11"/>
      <c r="I72" s="11"/>
      <c r="J72" s="11"/>
      <c r="K72" s="11"/>
      <c r="L72" s="11"/>
      <c r="M72" s="159"/>
      <c r="N72" s="160"/>
      <c r="O72" s="158"/>
      <c r="P72" s="158"/>
      <c r="Q72" s="11"/>
    </row>
    <row r="73" spans="2:17" ht="18" customHeight="1">
      <c r="B73" s="155">
        <f>Invoerenduet!$A$13</f>
        <v>9</v>
      </c>
      <c r="C73" s="161">
        <f>Invoerenduet!$D$13</f>
        <v>0</v>
      </c>
      <c r="D73" s="125">
        <f>Invoerenduet!$Q$13</f>
        <v>0</v>
      </c>
      <c r="E73" s="126">
        <v>0.3</v>
      </c>
      <c r="F73" s="162"/>
      <c r="G73" s="162"/>
      <c r="H73" s="162"/>
      <c r="I73" s="163"/>
      <c r="J73" s="163"/>
      <c r="K73" s="136"/>
      <c r="L73" s="130" t="s">
        <v>79</v>
      </c>
      <c r="M73" s="164" t="s">
        <v>80</v>
      </c>
      <c r="N73" s="165">
        <f>Invoerenduet!$C$1</f>
        <v>50</v>
      </c>
      <c r="O73" s="166" t="s">
        <v>81</v>
      </c>
      <c r="P73" s="167">
        <f>ROUND(Invoerenduet!$BX$13*Invoerenduet!$C$1/100,4)</f>
        <v>0</v>
      </c>
      <c r="Q73" s="49">
        <f>Invoerenduet!$CB$13</f>
      </c>
    </row>
    <row r="74" spans="2:17" ht="18" customHeight="1">
      <c r="B74" s="135">
        <f>Invoerenduet!$I$13</f>
        <v>0</v>
      </c>
      <c r="C74" s="135">
        <f>Invoerenduet!$G$13</f>
        <v>0</v>
      </c>
      <c r="D74" s="135">
        <f>Invoerenduet!$H$13</f>
        <v>0</v>
      </c>
      <c r="E74" s="126">
        <v>0.4</v>
      </c>
      <c r="F74" s="127"/>
      <c r="G74" s="127"/>
      <c r="H74" s="127"/>
      <c r="I74" s="128"/>
      <c r="J74" s="128"/>
      <c r="K74" s="136"/>
      <c r="L74" s="137" t="s">
        <v>82</v>
      </c>
      <c r="M74" s="138" t="s">
        <v>83</v>
      </c>
      <c r="N74" s="139">
        <f>Invoerenduet!$C$3</f>
        <v>0</v>
      </c>
      <c r="O74" s="140" t="s">
        <v>81</v>
      </c>
      <c r="P74" s="141">
        <f>ROUND(Invoerenduet!$S$13*Invoerenduet!$C$3/100,4)</f>
        <v>0</v>
      </c>
      <c r="Q74" s="7">
        <f>Invoerenduet!$T$13</f>
      </c>
    </row>
    <row r="75" spans="2:17" ht="18" customHeight="1">
      <c r="B75" s="135">
        <f>Invoerenduet!$L$13</f>
        <v>0</v>
      </c>
      <c r="C75" s="135">
        <f>Invoerenduet!$J$13</f>
        <v>0</v>
      </c>
      <c r="D75" s="135">
        <f>Invoerenduet!$K$13</f>
        <v>0</v>
      </c>
      <c r="E75" s="126">
        <v>0.3</v>
      </c>
      <c r="F75" s="127"/>
      <c r="G75" s="127"/>
      <c r="H75" s="127"/>
      <c r="I75" s="128"/>
      <c r="J75" s="128"/>
      <c r="K75" s="136"/>
      <c r="L75" s="137" t="s">
        <v>84</v>
      </c>
      <c r="M75" s="142"/>
      <c r="N75" s="142"/>
      <c r="O75" s="143"/>
      <c r="P75" s="143"/>
      <c r="Q75" s="7"/>
    </row>
    <row r="76" spans="2:17" ht="18" customHeight="1">
      <c r="B76" s="135">
        <f>Invoerenduet!$O$13</f>
        <v>0</v>
      </c>
      <c r="C76" s="135">
        <f>Invoerenduet!$M$13</f>
        <v>0</v>
      </c>
      <c r="D76" s="135">
        <f>Invoerenduet!$N$13</f>
        <v>0</v>
      </c>
      <c r="E76" s="142"/>
      <c r="F76" s="142"/>
      <c r="G76" s="144"/>
      <c r="H76" s="144"/>
      <c r="I76" s="145"/>
      <c r="J76" s="145"/>
      <c r="K76" s="146">
        <f>SUM(K73:K75)</f>
        <v>0</v>
      </c>
      <c r="L76" s="142"/>
      <c r="M76" s="142"/>
      <c r="N76" s="142"/>
      <c r="O76" s="143"/>
      <c r="P76" s="143"/>
      <c r="Q76" s="7"/>
    </row>
    <row r="77" spans="2:17" ht="18" customHeight="1">
      <c r="B77" s="135"/>
      <c r="C77" s="135"/>
      <c r="D77" s="135"/>
      <c r="E77" s="142"/>
      <c r="F77" s="142"/>
      <c r="G77" s="135"/>
      <c r="H77" s="135"/>
      <c r="I77" s="147"/>
      <c r="J77" s="148" t="s">
        <v>85</v>
      </c>
      <c r="K77" s="149"/>
      <c r="L77" s="137" t="s">
        <v>86</v>
      </c>
      <c r="M77" s="142"/>
      <c r="N77" s="142"/>
      <c r="O77" s="143"/>
      <c r="P77" s="143"/>
      <c r="Q77" s="7"/>
    </row>
    <row r="78" spans="2:17" ht="18" customHeight="1">
      <c r="B78" s="135"/>
      <c r="C78" s="150" t="s">
        <v>87</v>
      </c>
      <c r="D78" s="49">
        <f>Invoerenduet!$E$13</f>
        <v>0</v>
      </c>
      <c r="E78" s="151"/>
      <c r="F78" s="142"/>
      <c r="G78" s="135"/>
      <c r="H78" s="135"/>
      <c r="I78" s="147"/>
      <c r="J78" s="106"/>
      <c r="K78" s="152"/>
      <c r="L78" s="142"/>
      <c r="M78" s="148" t="s">
        <v>88</v>
      </c>
      <c r="N78" s="142">
        <f>Invoerenduet!$C$2</f>
        <v>50</v>
      </c>
      <c r="O78" s="153" t="s">
        <v>81</v>
      </c>
      <c r="P78" s="154"/>
      <c r="Q78" s="7">
        <f>Invoerenduet!$V$13</f>
      </c>
    </row>
    <row r="79" spans="2:17" ht="18" customHeight="1">
      <c r="B79" s="135"/>
      <c r="C79" s="150" t="s">
        <v>89</v>
      </c>
      <c r="D79" s="49">
        <f>Invoerenduet!$F$13</f>
        <v>0</v>
      </c>
      <c r="E79" s="151"/>
      <c r="F79" s="142"/>
      <c r="G79" s="135"/>
      <c r="H79" s="135"/>
      <c r="I79" s="155"/>
      <c r="J79" s="106"/>
      <c r="K79" s="152"/>
      <c r="L79" s="142"/>
      <c r="M79" s="156" t="s">
        <v>17</v>
      </c>
      <c r="N79" s="142"/>
      <c r="O79" s="142"/>
      <c r="P79" s="143">
        <f>P73+P74</f>
        <v>0</v>
      </c>
      <c r="Q79" s="157"/>
    </row>
    <row r="80" spans="2:17" ht="18" customHeight="1">
      <c r="B80" s="11"/>
      <c r="C80" s="158"/>
      <c r="D80" s="151"/>
      <c r="E80" s="158"/>
      <c r="F80" s="11"/>
      <c r="G80" s="11"/>
      <c r="H80" s="11"/>
      <c r="I80" s="11"/>
      <c r="J80" s="11"/>
      <c r="K80" s="11"/>
      <c r="L80" s="11"/>
      <c r="M80" s="159"/>
      <c r="N80" s="160"/>
      <c r="O80" s="158"/>
      <c r="P80" s="158"/>
      <c r="Q80" s="11"/>
    </row>
    <row r="81" spans="2:17" ht="18" customHeight="1">
      <c r="B81" s="155">
        <f>Invoerenduet!$A$14</f>
        <v>10</v>
      </c>
      <c r="C81" s="161">
        <f>Invoerenduet!$D$14</f>
        <v>0</v>
      </c>
      <c r="D81" s="125">
        <f>Invoerenduet!$Q$14</f>
        <v>0</v>
      </c>
      <c r="E81" s="126">
        <v>0.3</v>
      </c>
      <c r="F81" s="162"/>
      <c r="G81" s="162"/>
      <c r="H81" s="162"/>
      <c r="I81" s="163"/>
      <c r="J81" s="163"/>
      <c r="K81" s="136"/>
      <c r="L81" s="130" t="s">
        <v>79</v>
      </c>
      <c r="M81" s="164" t="s">
        <v>80</v>
      </c>
      <c r="N81" s="165">
        <f>Invoerenduet!$C$1</f>
        <v>50</v>
      </c>
      <c r="O81" s="166" t="s">
        <v>81</v>
      </c>
      <c r="P81" s="167">
        <f>ROUND(Invoerenduet!$BX$14*Invoerenduet!$C$1/100,4)</f>
        <v>0</v>
      </c>
      <c r="Q81" s="49">
        <f>Invoerenduet!$CB$14</f>
      </c>
    </row>
    <row r="82" spans="2:17" ht="18" customHeight="1">
      <c r="B82" s="135">
        <f>Invoerenduet!$I$14</f>
        <v>0</v>
      </c>
      <c r="C82" s="135">
        <f>Invoerenduet!$G$14</f>
        <v>0</v>
      </c>
      <c r="D82" s="135">
        <f>Invoerenduet!$H$14</f>
        <v>0</v>
      </c>
      <c r="E82" s="126">
        <v>0.4</v>
      </c>
      <c r="F82" s="127"/>
      <c r="G82" s="127"/>
      <c r="H82" s="127"/>
      <c r="I82" s="128"/>
      <c r="J82" s="128"/>
      <c r="K82" s="136"/>
      <c r="L82" s="137" t="s">
        <v>82</v>
      </c>
      <c r="M82" s="138" t="s">
        <v>83</v>
      </c>
      <c r="N82" s="139">
        <f>Invoerenduet!$C$3</f>
        <v>0</v>
      </c>
      <c r="O82" s="140" t="s">
        <v>81</v>
      </c>
      <c r="P82" s="141">
        <f>ROUND(Invoerenduet!$S$14*Invoerenduet!$C$3/100,4)</f>
        <v>0</v>
      </c>
      <c r="Q82" s="7">
        <f>Invoerenduet!$T$14</f>
      </c>
    </row>
    <row r="83" spans="2:17" ht="18" customHeight="1">
      <c r="B83" s="135">
        <f>Invoerenduet!$L$14</f>
        <v>0</v>
      </c>
      <c r="C83" s="135">
        <f>Invoerenduet!$J$14</f>
        <v>0</v>
      </c>
      <c r="D83" s="135">
        <f>Invoerenduet!$K$14</f>
        <v>0</v>
      </c>
      <c r="E83" s="126">
        <v>0.3</v>
      </c>
      <c r="F83" s="127"/>
      <c r="G83" s="127"/>
      <c r="H83" s="127"/>
      <c r="I83" s="128"/>
      <c r="J83" s="128"/>
      <c r="K83" s="136"/>
      <c r="L83" s="137" t="s">
        <v>84</v>
      </c>
      <c r="M83" s="142"/>
      <c r="N83" s="142"/>
      <c r="O83" s="143"/>
      <c r="P83" s="143"/>
      <c r="Q83" s="7"/>
    </row>
    <row r="84" spans="2:17" ht="18" customHeight="1">
      <c r="B84" s="135">
        <f>Invoerenduet!$O$14</f>
        <v>0</v>
      </c>
      <c r="C84" s="135">
        <f>Invoerenduet!$M$14</f>
        <v>0</v>
      </c>
      <c r="D84" s="135">
        <f>Invoerenduet!$N$14</f>
        <v>0</v>
      </c>
      <c r="E84" s="142"/>
      <c r="F84" s="142"/>
      <c r="G84" s="144"/>
      <c r="H84" s="144"/>
      <c r="I84" s="145"/>
      <c r="J84" s="145"/>
      <c r="K84" s="146">
        <f>SUM(K81:K83)</f>
        <v>0</v>
      </c>
      <c r="L84" s="142"/>
      <c r="M84" s="142"/>
      <c r="N84" s="142"/>
      <c r="O84" s="143"/>
      <c r="P84" s="143"/>
      <c r="Q84" s="7"/>
    </row>
    <row r="85" spans="2:17" ht="18" customHeight="1">
      <c r="B85" s="135"/>
      <c r="C85" s="135"/>
      <c r="D85" s="135"/>
      <c r="E85" s="142"/>
      <c r="F85" s="142"/>
      <c r="G85" s="135"/>
      <c r="H85" s="135"/>
      <c r="I85" s="147"/>
      <c r="J85" s="148" t="s">
        <v>85</v>
      </c>
      <c r="K85" s="149"/>
      <c r="L85" s="137" t="s">
        <v>86</v>
      </c>
      <c r="M85" s="142"/>
      <c r="N85" s="142"/>
      <c r="O85" s="143"/>
      <c r="P85" s="143"/>
      <c r="Q85" s="7"/>
    </row>
    <row r="86" spans="2:17" ht="18" customHeight="1">
      <c r="B86" s="135"/>
      <c r="C86" s="150" t="s">
        <v>87</v>
      </c>
      <c r="D86" s="49">
        <f>Invoerenduet!$E$14</f>
        <v>0</v>
      </c>
      <c r="E86" s="151"/>
      <c r="F86" s="142"/>
      <c r="G86" s="135"/>
      <c r="H86" s="135"/>
      <c r="I86" s="147"/>
      <c r="J86" s="106"/>
      <c r="K86" s="152"/>
      <c r="L86" s="142"/>
      <c r="M86" s="148" t="s">
        <v>88</v>
      </c>
      <c r="N86" s="142">
        <f>Invoerenduet!$C$2</f>
        <v>50</v>
      </c>
      <c r="O86" s="153" t="s">
        <v>81</v>
      </c>
      <c r="P86" s="154"/>
      <c r="Q86" s="7">
        <f>Invoerenduet!$V$14</f>
      </c>
    </row>
    <row r="87" spans="2:17" ht="18" customHeight="1">
      <c r="B87" s="135"/>
      <c r="C87" s="150" t="s">
        <v>89</v>
      </c>
      <c r="D87" s="49">
        <f>Invoerenduet!$F$14</f>
        <v>0</v>
      </c>
      <c r="E87" s="151"/>
      <c r="F87" s="142"/>
      <c r="G87" s="135"/>
      <c r="H87" s="135"/>
      <c r="I87" s="155"/>
      <c r="J87" s="106"/>
      <c r="K87" s="152"/>
      <c r="L87" s="142"/>
      <c r="M87" s="156" t="s">
        <v>17</v>
      </c>
      <c r="N87" s="142"/>
      <c r="O87" s="142"/>
      <c r="P87" s="143">
        <f>P81+P82</f>
        <v>0</v>
      </c>
      <c r="Q87" s="157"/>
    </row>
    <row r="88" spans="2:17" ht="18" customHeight="1">
      <c r="B88" s="11"/>
      <c r="C88" s="158"/>
      <c r="D88" s="151"/>
      <c r="E88" s="158"/>
      <c r="F88" s="11"/>
      <c r="G88" s="11"/>
      <c r="H88" s="11"/>
      <c r="I88" s="11"/>
      <c r="J88" s="11"/>
      <c r="K88" s="11"/>
      <c r="L88" s="11"/>
      <c r="M88" s="159"/>
      <c r="N88" s="160"/>
      <c r="O88" s="158"/>
      <c r="P88" s="158"/>
      <c r="Q88" s="11"/>
    </row>
    <row r="89" spans="2:17" ht="18" customHeight="1">
      <c r="B89" s="155">
        <f>Invoerenduet!$A$15</f>
        <v>11</v>
      </c>
      <c r="C89" s="161">
        <f>Invoerenduet!$D$15</f>
        <v>0</v>
      </c>
      <c r="D89" s="125">
        <f>Invoerenduet!$Q$15</f>
        <v>0</v>
      </c>
      <c r="E89" s="126">
        <v>0.3</v>
      </c>
      <c r="F89" s="162"/>
      <c r="G89" s="162"/>
      <c r="H89" s="162"/>
      <c r="I89" s="163"/>
      <c r="J89" s="163"/>
      <c r="K89" s="136"/>
      <c r="L89" s="130" t="s">
        <v>79</v>
      </c>
      <c r="M89" s="164" t="s">
        <v>80</v>
      </c>
      <c r="N89" s="165">
        <f>Invoerenduet!$C$1</f>
        <v>50</v>
      </c>
      <c r="O89" s="166" t="s">
        <v>81</v>
      </c>
      <c r="P89" s="167">
        <f>ROUND(Invoerenduet!$BX$15*Invoerenduet!$C$1/100,4)</f>
        <v>0</v>
      </c>
      <c r="Q89" s="49">
        <f>Invoerenduet!$CB$15</f>
      </c>
    </row>
    <row r="90" spans="2:17" ht="18" customHeight="1">
      <c r="B90" s="135">
        <f>Invoerenduet!$I$15</f>
        <v>0</v>
      </c>
      <c r="C90" s="135">
        <f>Invoerenduet!$G$15</f>
        <v>0</v>
      </c>
      <c r="D90" s="135">
        <f>Invoerenduet!$H$15</f>
        <v>0</v>
      </c>
      <c r="E90" s="126">
        <v>0.4</v>
      </c>
      <c r="F90" s="127"/>
      <c r="G90" s="127"/>
      <c r="H90" s="127"/>
      <c r="I90" s="128"/>
      <c r="J90" s="128"/>
      <c r="K90" s="136"/>
      <c r="L90" s="137" t="s">
        <v>82</v>
      </c>
      <c r="M90" s="138" t="s">
        <v>83</v>
      </c>
      <c r="N90" s="139">
        <f>Invoerenduet!$C$3</f>
        <v>0</v>
      </c>
      <c r="O90" s="140" t="s">
        <v>81</v>
      </c>
      <c r="P90" s="141">
        <f>ROUND(Invoerenduet!$S$15*Invoerenduet!$C$3/100,4)</f>
        <v>0</v>
      </c>
      <c r="Q90" s="7">
        <f>Invoerenduet!$T$15</f>
      </c>
    </row>
    <row r="91" spans="2:17" ht="18" customHeight="1">
      <c r="B91" s="135">
        <f>Invoerenduet!$L$15</f>
        <v>0</v>
      </c>
      <c r="C91" s="135">
        <f>Invoerenduet!$J$15</f>
        <v>0</v>
      </c>
      <c r="D91" s="135">
        <f>Invoerenduet!$K$15</f>
        <v>0</v>
      </c>
      <c r="E91" s="126">
        <v>0.3</v>
      </c>
      <c r="F91" s="127"/>
      <c r="G91" s="127"/>
      <c r="H91" s="127"/>
      <c r="I91" s="128"/>
      <c r="J91" s="128"/>
      <c r="K91" s="136"/>
      <c r="L91" s="137" t="s">
        <v>84</v>
      </c>
      <c r="M91" s="142"/>
      <c r="N91" s="142"/>
      <c r="O91" s="143"/>
      <c r="P91" s="143"/>
      <c r="Q91" s="7"/>
    </row>
    <row r="92" spans="2:17" ht="18" customHeight="1">
      <c r="B92" s="135">
        <f>Invoerenduet!$O$15</f>
        <v>0</v>
      </c>
      <c r="C92" s="135">
        <f>Invoerenduet!$M$15</f>
        <v>0</v>
      </c>
      <c r="D92" s="135">
        <f>Invoerenduet!$N$15</f>
        <v>0</v>
      </c>
      <c r="E92" s="142"/>
      <c r="F92" s="142"/>
      <c r="G92" s="144"/>
      <c r="H92" s="144"/>
      <c r="I92" s="145"/>
      <c r="J92" s="145"/>
      <c r="K92" s="146">
        <f>SUM(K89:K91)</f>
        <v>0</v>
      </c>
      <c r="L92" s="142"/>
      <c r="M92" s="142"/>
      <c r="N92" s="142"/>
      <c r="O92" s="143"/>
      <c r="P92" s="143"/>
      <c r="Q92" s="7"/>
    </row>
    <row r="93" spans="2:17" ht="18" customHeight="1">
      <c r="B93" s="135"/>
      <c r="C93" s="135"/>
      <c r="D93" s="135"/>
      <c r="E93" s="142"/>
      <c r="F93" s="142"/>
      <c r="G93" s="135"/>
      <c r="H93" s="135"/>
      <c r="I93" s="147"/>
      <c r="J93" s="148" t="s">
        <v>85</v>
      </c>
      <c r="K93" s="149"/>
      <c r="L93" s="137" t="s">
        <v>86</v>
      </c>
      <c r="M93" s="142"/>
      <c r="N93" s="142"/>
      <c r="O93" s="143"/>
      <c r="P93" s="143"/>
      <c r="Q93" s="7"/>
    </row>
    <row r="94" spans="2:17" ht="18" customHeight="1">
      <c r="B94" s="135"/>
      <c r="C94" s="150" t="s">
        <v>87</v>
      </c>
      <c r="D94" s="49">
        <f>Invoerenduet!$E$15</f>
        <v>0</v>
      </c>
      <c r="E94" s="151"/>
      <c r="F94" s="142"/>
      <c r="G94" s="135"/>
      <c r="H94" s="135"/>
      <c r="I94" s="147"/>
      <c r="J94" s="106"/>
      <c r="K94" s="152"/>
      <c r="L94" s="142"/>
      <c r="M94" s="148" t="s">
        <v>88</v>
      </c>
      <c r="N94" s="142">
        <f>Invoerenduet!$C$2</f>
        <v>50</v>
      </c>
      <c r="O94" s="153" t="s">
        <v>81</v>
      </c>
      <c r="P94" s="154"/>
      <c r="Q94" s="7">
        <f>Invoerenduet!$V$15</f>
      </c>
    </row>
    <row r="95" spans="2:17" ht="18" customHeight="1">
      <c r="B95" s="135"/>
      <c r="C95" s="150" t="s">
        <v>89</v>
      </c>
      <c r="D95" s="49">
        <f>Invoerenduet!$F$15</f>
        <v>0</v>
      </c>
      <c r="E95" s="151"/>
      <c r="F95" s="142"/>
      <c r="G95" s="135"/>
      <c r="H95" s="135"/>
      <c r="I95" s="155"/>
      <c r="J95" s="106"/>
      <c r="K95" s="152"/>
      <c r="L95" s="142"/>
      <c r="M95" s="156" t="s">
        <v>17</v>
      </c>
      <c r="N95" s="142"/>
      <c r="O95" s="142"/>
      <c r="P95" s="143">
        <f>P89+P90</f>
        <v>0</v>
      </c>
      <c r="Q95" s="157"/>
    </row>
    <row r="96" spans="2:17" ht="18" customHeight="1">
      <c r="B96" s="11"/>
      <c r="C96" s="158"/>
      <c r="D96" s="151"/>
      <c r="E96" s="158"/>
      <c r="F96" s="11"/>
      <c r="G96" s="11"/>
      <c r="H96" s="11"/>
      <c r="I96" s="11"/>
      <c r="J96" s="11"/>
      <c r="K96" s="11"/>
      <c r="L96" s="11"/>
      <c r="M96" s="159"/>
      <c r="N96" s="160"/>
      <c r="O96" s="158"/>
      <c r="P96" s="158"/>
      <c r="Q96" s="11"/>
    </row>
    <row r="97" spans="2:17" ht="18" customHeight="1">
      <c r="B97" s="155">
        <f>Invoerenduet!$A$16</f>
        <v>12</v>
      </c>
      <c r="C97" s="161">
        <f>Invoerenduet!$D$16</f>
        <v>0</v>
      </c>
      <c r="D97" s="125">
        <f>Invoerenduet!$Q$16</f>
        <v>0</v>
      </c>
      <c r="E97" s="126">
        <v>0.3</v>
      </c>
      <c r="F97" s="162"/>
      <c r="G97" s="162"/>
      <c r="H97" s="162"/>
      <c r="I97" s="163"/>
      <c r="J97" s="163"/>
      <c r="K97" s="136"/>
      <c r="L97" s="130" t="s">
        <v>79</v>
      </c>
      <c r="M97" s="164" t="s">
        <v>80</v>
      </c>
      <c r="N97" s="165">
        <f>Invoerenduet!$C$1</f>
        <v>50</v>
      </c>
      <c r="O97" s="166" t="s">
        <v>81</v>
      </c>
      <c r="P97" s="167">
        <f>ROUND(Invoerenduet!$BX$16*Invoerenduet!$C$1/100,4)</f>
        <v>0</v>
      </c>
      <c r="Q97" s="49">
        <f>Invoerenduet!$CB$16</f>
      </c>
    </row>
    <row r="98" spans="2:17" ht="18" customHeight="1">
      <c r="B98" s="135">
        <f>Invoerenduet!$I$16</f>
        <v>0</v>
      </c>
      <c r="C98" s="135">
        <f>Invoerenduet!$G$16</f>
        <v>0</v>
      </c>
      <c r="D98" s="135">
        <f>Invoerenduet!$H$16</f>
        <v>0</v>
      </c>
      <c r="E98" s="126">
        <v>0.4</v>
      </c>
      <c r="F98" s="127"/>
      <c r="G98" s="127"/>
      <c r="H98" s="127"/>
      <c r="I98" s="128"/>
      <c r="J98" s="128"/>
      <c r="K98" s="136"/>
      <c r="L98" s="137" t="s">
        <v>82</v>
      </c>
      <c r="M98" s="138" t="s">
        <v>83</v>
      </c>
      <c r="N98" s="139">
        <f>Invoerenduet!$C$3</f>
        <v>0</v>
      </c>
      <c r="O98" s="140" t="s">
        <v>81</v>
      </c>
      <c r="P98" s="141">
        <f>ROUND(Invoerenduet!$S$16*Invoerenduet!$C$3/100,4)</f>
        <v>0</v>
      </c>
      <c r="Q98" s="7">
        <f>Invoerenduet!$T$16</f>
      </c>
    </row>
    <row r="99" spans="2:17" ht="18" customHeight="1">
      <c r="B99" s="135">
        <f>Invoerenduet!$L$16</f>
        <v>0</v>
      </c>
      <c r="C99" s="135">
        <f>Invoerenduet!$J$16</f>
        <v>0</v>
      </c>
      <c r="D99" s="135">
        <f>Invoerenduet!$K$16</f>
        <v>0</v>
      </c>
      <c r="E99" s="126">
        <v>0.3</v>
      </c>
      <c r="F99" s="127"/>
      <c r="G99" s="127"/>
      <c r="H99" s="127"/>
      <c r="I99" s="128"/>
      <c r="J99" s="128"/>
      <c r="K99" s="136"/>
      <c r="L99" s="137" t="s">
        <v>84</v>
      </c>
      <c r="M99" s="142"/>
      <c r="N99" s="142"/>
      <c r="O99" s="143"/>
      <c r="P99" s="143"/>
      <c r="Q99" s="7"/>
    </row>
    <row r="100" spans="2:17" ht="18" customHeight="1">
      <c r="B100" s="135">
        <f>Invoerenduet!$O$16</f>
        <v>0</v>
      </c>
      <c r="C100" s="135">
        <f>Invoerenduet!$M$16</f>
        <v>0</v>
      </c>
      <c r="D100" s="135">
        <f>Invoerenduet!$N$16</f>
        <v>0</v>
      </c>
      <c r="E100" s="142"/>
      <c r="F100" s="142"/>
      <c r="G100" s="144"/>
      <c r="H100" s="144"/>
      <c r="I100" s="145"/>
      <c r="J100" s="145"/>
      <c r="K100" s="146">
        <f>SUM(K97:K99)</f>
        <v>0</v>
      </c>
      <c r="L100" s="142"/>
      <c r="M100" s="142"/>
      <c r="N100" s="142"/>
      <c r="O100" s="143"/>
      <c r="P100" s="143"/>
      <c r="Q100" s="7"/>
    </row>
    <row r="101" spans="2:17" ht="18" customHeight="1">
      <c r="B101" s="135"/>
      <c r="C101" s="135"/>
      <c r="D101" s="135"/>
      <c r="E101" s="142"/>
      <c r="F101" s="142"/>
      <c r="G101" s="135"/>
      <c r="H101" s="135"/>
      <c r="I101" s="147"/>
      <c r="J101" s="148" t="s">
        <v>85</v>
      </c>
      <c r="K101" s="149"/>
      <c r="L101" s="137" t="s">
        <v>86</v>
      </c>
      <c r="M101" s="142"/>
      <c r="N101" s="142"/>
      <c r="O101" s="143"/>
      <c r="P101" s="143"/>
      <c r="Q101" s="7"/>
    </row>
    <row r="102" spans="2:17" ht="18" customHeight="1">
      <c r="B102" s="135"/>
      <c r="C102" s="150" t="s">
        <v>87</v>
      </c>
      <c r="D102" s="49">
        <f>Invoerenduet!$E$16</f>
        <v>0</v>
      </c>
      <c r="E102" s="151"/>
      <c r="F102" s="142"/>
      <c r="G102" s="135"/>
      <c r="H102" s="135"/>
      <c r="I102" s="147"/>
      <c r="J102" s="106"/>
      <c r="K102" s="152"/>
      <c r="L102" s="142"/>
      <c r="M102" s="148" t="s">
        <v>88</v>
      </c>
      <c r="N102" s="142">
        <f>Invoerenduet!$C$2</f>
        <v>50</v>
      </c>
      <c r="O102" s="153" t="s">
        <v>81</v>
      </c>
      <c r="P102" s="154"/>
      <c r="Q102" s="7">
        <f>Invoerenduet!$V$16</f>
      </c>
    </row>
    <row r="103" spans="2:17" ht="18" customHeight="1">
      <c r="B103" s="135"/>
      <c r="C103" s="150" t="s">
        <v>89</v>
      </c>
      <c r="D103" s="49">
        <f>Invoerenduet!$F$16</f>
        <v>0</v>
      </c>
      <c r="E103" s="151"/>
      <c r="F103" s="142"/>
      <c r="G103" s="135"/>
      <c r="H103" s="135"/>
      <c r="I103" s="155"/>
      <c r="J103" s="106"/>
      <c r="K103" s="152"/>
      <c r="L103" s="142"/>
      <c r="M103" s="156" t="s">
        <v>17</v>
      </c>
      <c r="N103" s="142"/>
      <c r="O103" s="142"/>
      <c r="P103" s="143">
        <f>P97+P98</f>
        <v>0</v>
      </c>
      <c r="Q103" s="157"/>
    </row>
    <row r="104" spans="2:17" ht="18" customHeight="1">
      <c r="B104" s="11"/>
      <c r="C104" s="158"/>
      <c r="D104" s="151"/>
      <c r="E104" s="158"/>
      <c r="F104" s="11"/>
      <c r="G104" s="11"/>
      <c r="H104" s="11"/>
      <c r="I104" s="11"/>
      <c r="J104" s="11"/>
      <c r="K104" s="11"/>
      <c r="L104" s="11"/>
      <c r="M104" s="159"/>
      <c r="N104" s="160"/>
      <c r="O104" s="158"/>
      <c r="P104" s="158"/>
      <c r="Q104" s="11"/>
    </row>
    <row r="105" spans="2:17" ht="18" customHeight="1">
      <c r="B105" s="155">
        <f>Invoerenduet!$A$17</f>
        <v>13</v>
      </c>
      <c r="C105" s="161">
        <f>Invoerenduet!$D$17</f>
        <v>0</v>
      </c>
      <c r="D105" s="125">
        <f>Invoerenduet!$Q$17</f>
        <v>0</v>
      </c>
      <c r="E105" s="126">
        <v>0.3</v>
      </c>
      <c r="F105" s="162"/>
      <c r="G105" s="162"/>
      <c r="H105" s="162"/>
      <c r="I105" s="163"/>
      <c r="J105" s="163"/>
      <c r="K105" s="136"/>
      <c r="L105" s="130" t="s">
        <v>79</v>
      </c>
      <c r="M105" s="164" t="s">
        <v>80</v>
      </c>
      <c r="N105" s="165">
        <f>Invoerenduet!$C$1</f>
        <v>50</v>
      </c>
      <c r="O105" s="166" t="s">
        <v>81</v>
      </c>
      <c r="P105" s="167">
        <f>ROUND(Invoerenduet!$BX$17*Invoerenduet!$C$1/100,4)</f>
        <v>0</v>
      </c>
      <c r="Q105" s="49">
        <f>Invoerenduet!$CB$17</f>
      </c>
    </row>
    <row r="106" spans="2:17" ht="18" customHeight="1">
      <c r="B106" s="135">
        <f>Invoerenduet!$I$17</f>
        <v>0</v>
      </c>
      <c r="C106" s="135">
        <f>Invoerenduet!$G$17</f>
        <v>0</v>
      </c>
      <c r="D106" s="135">
        <f>Invoerenduet!$H$17</f>
        <v>0</v>
      </c>
      <c r="E106" s="126">
        <v>0.4</v>
      </c>
      <c r="F106" s="127"/>
      <c r="G106" s="127"/>
      <c r="H106" s="127"/>
      <c r="I106" s="128"/>
      <c r="J106" s="128"/>
      <c r="K106" s="136"/>
      <c r="L106" s="137" t="s">
        <v>82</v>
      </c>
      <c r="M106" s="138" t="s">
        <v>83</v>
      </c>
      <c r="N106" s="139">
        <f>Invoerenduet!$C$3</f>
        <v>0</v>
      </c>
      <c r="O106" s="140" t="s">
        <v>81</v>
      </c>
      <c r="P106" s="141">
        <f>ROUND(Invoerenduet!$S$17*Invoerenduet!$C$3/100,4)</f>
        <v>0</v>
      </c>
      <c r="Q106" s="7">
        <f>Invoerenduet!$T$17</f>
      </c>
    </row>
    <row r="107" spans="2:17" ht="18" customHeight="1">
      <c r="B107" s="135">
        <f>Invoerenduet!$L$17</f>
        <v>0</v>
      </c>
      <c r="C107" s="135">
        <f>Invoerenduet!$J$17</f>
        <v>0</v>
      </c>
      <c r="D107" s="135">
        <f>Invoerenduet!$K$17</f>
        <v>0</v>
      </c>
      <c r="E107" s="126">
        <v>0.3</v>
      </c>
      <c r="F107" s="127"/>
      <c r="G107" s="127"/>
      <c r="H107" s="127"/>
      <c r="I107" s="128"/>
      <c r="J107" s="128"/>
      <c r="K107" s="136"/>
      <c r="L107" s="137" t="s">
        <v>84</v>
      </c>
      <c r="M107" s="142"/>
      <c r="N107" s="142"/>
      <c r="O107" s="143"/>
      <c r="P107" s="143"/>
      <c r="Q107" s="7"/>
    </row>
    <row r="108" spans="2:17" ht="18" customHeight="1">
      <c r="B108" s="135">
        <f>Invoerenduet!$O$17</f>
        <v>0</v>
      </c>
      <c r="C108" s="135">
        <f>Invoerenduet!$M$17</f>
        <v>0</v>
      </c>
      <c r="D108" s="135">
        <f>Invoerenduet!$N$17</f>
        <v>0</v>
      </c>
      <c r="E108" s="142"/>
      <c r="F108" s="142"/>
      <c r="G108" s="144"/>
      <c r="H108" s="144"/>
      <c r="I108" s="145"/>
      <c r="J108" s="145"/>
      <c r="K108" s="146">
        <f>SUM(K105:K107)</f>
        <v>0</v>
      </c>
      <c r="L108" s="142"/>
      <c r="M108" s="142"/>
      <c r="N108" s="142"/>
      <c r="O108" s="143"/>
      <c r="P108" s="143"/>
      <c r="Q108" s="7"/>
    </row>
    <row r="109" spans="2:17" ht="18" customHeight="1">
      <c r="B109" s="135"/>
      <c r="C109" s="135"/>
      <c r="D109" s="135"/>
      <c r="E109" s="142"/>
      <c r="F109" s="142"/>
      <c r="G109" s="135"/>
      <c r="H109" s="135"/>
      <c r="I109" s="147"/>
      <c r="J109" s="148" t="s">
        <v>85</v>
      </c>
      <c r="K109" s="149"/>
      <c r="L109" s="137" t="s">
        <v>86</v>
      </c>
      <c r="M109" s="142"/>
      <c r="N109" s="142"/>
      <c r="O109" s="143"/>
      <c r="P109" s="143"/>
      <c r="Q109" s="7"/>
    </row>
    <row r="110" spans="2:17" ht="18" customHeight="1">
      <c r="B110" s="135"/>
      <c r="C110" s="150" t="s">
        <v>87</v>
      </c>
      <c r="D110" s="49">
        <f>Invoerenduet!$E$17</f>
        <v>0</v>
      </c>
      <c r="E110" s="151"/>
      <c r="F110" s="142"/>
      <c r="G110" s="135"/>
      <c r="H110" s="135"/>
      <c r="I110" s="147"/>
      <c r="J110" s="106"/>
      <c r="K110" s="152"/>
      <c r="L110" s="142"/>
      <c r="M110" s="148" t="s">
        <v>88</v>
      </c>
      <c r="N110" s="142">
        <f>Invoerenduet!$C$2</f>
        <v>50</v>
      </c>
      <c r="O110" s="153" t="s">
        <v>81</v>
      </c>
      <c r="P110" s="154"/>
      <c r="Q110" s="7">
        <f>Invoerenduet!$V$17</f>
      </c>
    </row>
    <row r="111" spans="2:17" ht="18" customHeight="1">
      <c r="B111" s="135"/>
      <c r="C111" s="150" t="s">
        <v>89</v>
      </c>
      <c r="D111" s="49">
        <f>Invoerenduet!$F$17</f>
        <v>0</v>
      </c>
      <c r="E111" s="151"/>
      <c r="F111" s="142"/>
      <c r="G111" s="135"/>
      <c r="H111" s="135"/>
      <c r="I111" s="155"/>
      <c r="J111" s="106"/>
      <c r="K111" s="152"/>
      <c r="L111" s="142"/>
      <c r="M111" s="156" t="s">
        <v>17</v>
      </c>
      <c r="N111" s="142"/>
      <c r="O111" s="142"/>
      <c r="P111" s="143">
        <f>P105+P106</f>
        <v>0</v>
      </c>
      <c r="Q111" s="157"/>
    </row>
    <row r="112" spans="2:17" ht="18" customHeight="1">
      <c r="B112" s="11"/>
      <c r="C112" s="158"/>
      <c r="D112" s="151"/>
      <c r="E112" s="158"/>
      <c r="F112" s="11"/>
      <c r="G112" s="11"/>
      <c r="H112" s="11"/>
      <c r="I112" s="11"/>
      <c r="J112" s="11"/>
      <c r="K112" s="11"/>
      <c r="L112" s="11"/>
      <c r="M112" s="159"/>
      <c r="N112" s="160"/>
      <c r="O112" s="158"/>
      <c r="P112" s="158"/>
      <c r="Q112" s="11"/>
    </row>
    <row r="113" spans="2:17" ht="18" customHeight="1">
      <c r="B113" s="155">
        <f>Invoerenduet!$A$18</f>
        <v>14</v>
      </c>
      <c r="C113" s="161">
        <f>Invoerenduet!$D$18</f>
        <v>0</v>
      </c>
      <c r="D113" s="125">
        <f>Invoerenduet!$Q$18</f>
        <v>0</v>
      </c>
      <c r="E113" s="126">
        <v>0.3</v>
      </c>
      <c r="F113" s="162"/>
      <c r="G113" s="162"/>
      <c r="H113" s="162"/>
      <c r="I113" s="163"/>
      <c r="J113" s="163"/>
      <c r="K113" s="136"/>
      <c r="L113" s="130" t="s">
        <v>79</v>
      </c>
      <c r="M113" s="164" t="s">
        <v>80</v>
      </c>
      <c r="N113" s="165">
        <f>Invoerenduet!$C$1</f>
        <v>50</v>
      </c>
      <c r="O113" s="166" t="s">
        <v>81</v>
      </c>
      <c r="P113" s="167">
        <f>ROUND(Invoerenduet!$BX$18*Invoerenduet!$C$1/100,4)</f>
        <v>0</v>
      </c>
      <c r="Q113" s="49">
        <f>Invoerenduet!$CB$18</f>
      </c>
    </row>
    <row r="114" spans="2:17" ht="18" customHeight="1">
      <c r="B114" s="135">
        <f>Invoerenduet!$I$18</f>
        <v>0</v>
      </c>
      <c r="C114" s="135">
        <f>Invoerenduet!$G$18</f>
        <v>0</v>
      </c>
      <c r="D114" s="135">
        <f>Invoerenduet!$H$18</f>
        <v>0</v>
      </c>
      <c r="E114" s="126">
        <v>0.4</v>
      </c>
      <c r="F114" s="127"/>
      <c r="G114" s="127"/>
      <c r="H114" s="127"/>
      <c r="I114" s="128"/>
      <c r="J114" s="128"/>
      <c r="K114" s="136"/>
      <c r="L114" s="137" t="s">
        <v>82</v>
      </c>
      <c r="M114" s="138" t="s">
        <v>83</v>
      </c>
      <c r="N114" s="139">
        <f>Invoerenduet!$C$3</f>
        <v>0</v>
      </c>
      <c r="O114" s="140" t="s">
        <v>81</v>
      </c>
      <c r="P114" s="141">
        <f>ROUND(Invoerenduet!$S$18*Invoerenduet!$C$3/100,4)</f>
        <v>0</v>
      </c>
      <c r="Q114" s="7">
        <f>Invoerenduet!$T$18</f>
      </c>
    </row>
    <row r="115" spans="2:17" ht="18" customHeight="1">
      <c r="B115" s="135">
        <f>Invoerenduet!$L$18</f>
        <v>0</v>
      </c>
      <c r="C115" s="135">
        <f>Invoerenduet!$J$18</f>
        <v>0</v>
      </c>
      <c r="D115" s="135">
        <f>Invoerenduet!$K$18</f>
        <v>0</v>
      </c>
      <c r="E115" s="126">
        <v>0.3</v>
      </c>
      <c r="F115" s="127"/>
      <c r="G115" s="127"/>
      <c r="H115" s="127"/>
      <c r="I115" s="128"/>
      <c r="J115" s="128"/>
      <c r="K115" s="136"/>
      <c r="L115" s="137" t="s">
        <v>84</v>
      </c>
      <c r="M115" s="142"/>
      <c r="N115" s="142"/>
      <c r="O115" s="143"/>
      <c r="P115" s="143"/>
      <c r="Q115" s="7"/>
    </row>
    <row r="116" spans="2:17" ht="18" customHeight="1">
      <c r="B116" s="135">
        <f>Invoerenduet!$O$18</f>
        <v>0</v>
      </c>
      <c r="C116" s="135">
        <f>Invoerenduet!$M$18</f>
        <v>0</v>
      </c>
      <c r="D116" s="135">
        <f>Invoerenduet!$N$18</f>
        <v>0</v>
      </c>
      <c r="E116" s="142"/>
      <c r="F116" s="142"/>
      <c r="G116" s="144"/>
      <c r="H116" s="144"/>
      <c r="I116" s="145"/>
      <c r="J116" s="145"/>
      <c r="K116" s="146">
        <f>SUM(K113:K115)</f>
        <v>0</v>
      </c>
      <c r="L116" s="142"/>
      <c r="M116" s="142"/>
      <c r="N116" s="142"/>
      <c r="O116" s="143"/>
      <c r="P116" s="143"/>
      <c r="Q116" s="7"/>
    </row>
    <row r="117" spans="2:17" ht="18" customHeight="1">
      <c r="B117" s="135"/>
      <c r="C117" s="135"/>
      <c r="D117" s="135"/>
      <c r="E117" s="142"/>
      <c r="F117" s="142"/>
      <c r="G117" s="135"/>
      <c r="H117" s="135"/>
      <c r="I117" s="147"/>
      <c r="J117" s="148" t="s">
        <v>85</v>
      </c>
      <c r="K117" s="149"/>
      <c r="L117" s="137" t="s">
        <v>86</v>
      </c>
      <c r="M117" s="142"/>
      <c r="N117" s="142"/>
      <c r="O117" s="143"/>
      <c r="P117" s="143"/>
      <c r="Q117" s="7"/>
    </row>
    <row r="118" spans="2:17" ht="18" customHeight="1">
      <c r="B118" s="135"/>
      <c r="C118" s="150" t="s">
        <v>87</v>
      </c>
      <c r="D118" s="49">
        <f>Invoerenduet!$E$18</f>
        <v>0</v>
      </c>
      <c r="E118" s="151"/>
      <c r="F118" s="142"/>
      <c r="G118" s="135"/>
      <c r="H118" s="135"/>
      <c r="I118" s="147"/>
      <c r="J118" s="106"/>
      <c r="K118" s="152"/>
      <c r="L118" s="142"/>
      <c r="M118" s="148" t="s">
        <v>88</v>
      </c>
      <c r="N118" s="142">
        <f>Invoerenduet!$C$2</f>
        <v>50</v>
      </c>
      <c r="O118" s="153" t="s">
        <v>81</v>
      </c>
      <c r="P118" s="154"/>
      <c r="Q118" s="7">
        <f>Invoerenduet!$V$18</f>
      </c>
    </row>
    <row r="119" spans="2:17" ht="18" customHeight="1">
      <c r="B119" s="135"/>
      <c r="C119" s="150" t="s">
        <v>89</v>
      </c>
      <c r="D119" s="49">
        <f>Invoerenduet!$F$18</f>
        <v>0</v>
      </c>
      <c r="E119" s="151"/>
      <c r="F119" s="142"/>
      <c r="G119" s="135"/>
      <c r="H119" s="135"/>
      <c r="I119" s="155"/>
      <c r="J119" s="106"/>
      <c r="K119" s="152"/>
      <c r="L119" s="142"/>
      <c r="M119" s="156" t="s">
        <v>17</v>
      </c>
      <c r="N119" s="142"/>
      <c r="O119" s="142"/>
      <c r="P119" s="143">
        <f>P113+P114</f>
        <v>0</v>
      </c>
      <c r="Q119" s="157"/>
    </row>
    <row r="120" spans="2:17" ht="18" customHeight="1">
      <c r="B120" s="11"/>
      <c r="C120" s="158"/>
      <c r="D120" s="151"/>
      <c r="E120" s="158"/>
      <c r="F120" s="11"/>
      <c r="G120" s="11"/>
      <c r="H120" s="11"/>
      <c r="I120" s="11"/>
      <c r="J120" s="11"/>
      <c r="K120" s="11"/>
      <c r="L120" s="11"/>
      <c r="M120" s="159"/>
      <c r="N120" s="160"/>
      <c r="O120" s="158"/>
      <c r="P120" s="158"/>
      <c r="Q120" s="11"/>
    </row>
    <row r="121" spans="2:17" ht="18" customHeight="1">
      <c r="B121" s="155">
        <f>Invoerenduet!$A$19</f>
        <v>15</v>
      </c>
      <c r="C121" s="161">
        <f>Invoerenduet!$D$19</f>
        <v>0</v>
      </c>
      <c r="D121" s="125">
        <f>Invoerenduet!$Q$19</f>
        <v>0</v>
      </c>
      <c r="E121" s="126">
        <v>0.3</v>
      </c>
      <c r="F121" s="162"/>
      <c r="G121" s="162"/>
      <c r="H121" s="162"/>
      <c r="I121" s="163"/>
      <c r="J121" s="163"/>
      <c r="K121" s="136"/>
      <c r="L121" s="130" t="s">
        <v>79</v>
      </c>
      <c r="M121" s="164" t="s">
        <v>80</v>
      </c>
      <c r="N121" s="165">
        <f>Invoerenduet!$C$1</f>
        <v>50</v>
      </c>
      <c r="O121" s="166" t="s">
        <v>81</v>
      </c>
      <c r="P121" s="167">
        <f>ROUND(Invoerenduet!$BX$19*Invoerenduet!$C$1/100,4)</f>
        <v>0</v>
      </c>
      <c r="Q121" s="49">
        <f>Invoerenduet!$CB$19</f>
      </c>
    </row>
    <row r="122" spans="2:17" ht="18" customHeight="1">
      <c r="B122" s="135">
        <f>Invoerenduet!$I$19</f>
        <v>0</v>
      </c>
      <c r="C122" s="135">
        <f>Invoerenduet!$G$19</f>
        <v>0</v>
      </c>
      <c r="D122" s="135">
        <f>Invoerenduet!$H$19</f>
        <v>0</v>
      </c>
      <c r="E122" s="126">
        <v>0.4</v>
      </c>
      <c r="F122" s="127"/>
      <c r="G122" s="127"/>
      <c r="H122" s="127"/>
      <c r="I122" s="128"/>
      <c r="J122" s="128"/>
      <c r="K122" s="136"/>
      <c r="L122" s="137" t="s">
        <v>82</v>
      </c>
      <c r="M122" s="138" t="s">
        <v>83</v>
      </c>
      <c r="N122" s="139">
        <f>Invoerenduet!$C$3</f>
        <v>0</v>
      </c>
      <c r="O122" s="140" t="s">
        <v>81</v>
      </c>
      <c r="P122" s="141">
        <f>ROUND(Invoerenduet!$S$19*Invoerenduet!$C$3/100,4)</f>
        <v>0</v>
      </c>
      <c r="Q122" s="7">
        <f>Invoerenduet!$T$19</f>
      </c>
    </row>
    <row r="123" spans="2:17" ht="18" customHeight="1">
      <c r="B123" s="135">
        <f>Invoerenduet!$L$19</f>
        <v>0</v>
      </c>
      <c r="C123" s="135">
        <f>Invoerenduet!$J$19</f>
        <v>0</v>
      </c>
      <c r="D123" s="135">
        <f>Invoerenduet!$K$19</f>
        <v>0</v>
      </c>
      <c r="E123" s="126">
        <v>0.3</v>
      </c>
      <c r="F123" s="127"/>
      <c r="G123" s="127"/>
      <c r="H123" s="127"/>
      <c r="I123" s="128"/>
      <c r="J123" s="128"/>
      <c r="K123" s="136"/>
      <c r="L123" s="137" t="s">
        <v>84</v>
      </c>
      <c r="M123" s="142"/>
      <c r="N123" s="142"/>
      <c r="O123" s="143"/>
      <c r="P123" s="143"/>
      <c r="Q123" s="7"/>
    </row>
    <row r="124" spans="2:17" ht="18" customHeight="1">
      <c r="B124" s="135">
        <f>Invoerenduet!$O$19</f>
        <v>0</v>
      </c>
      <c r="C124" s="135">
        <f>Invoerenduet!$M$19</f>
        <v>0</v>
      </c>
      <c r="D124" s="135">
        <f>Invoerenduet!$N$19</f>
        <v>0</v>
      </c>
      <c r="E124" s="142"/>
      <c r="F124" s="142"/>
      <c r="G124" s="144"/>
      <c r="H124" s="144"/>
      <c r="I124" s="145"/>
      <c r="J124" s="145"/>
      <c r="K124" s="146">
        <f>SUM(K121:K123)</f>
        <v>0</v>
      </c>
      <c r="L124" s="142"/>
      <c r="M124" s="142"/>
      <c r="N124" s="142"/>
      <c r="O124" s="143"/>
      <c r="P124" s="143"/>
      <c r="Q124" s="7"/>
    </row>
    <row r="125" spans="2:17" ht="18" customHeight="1">
      <c r="B125" s="135"/>
      <c r="C125" s="135"/>
      <c r="D125" s="135"/>
      <c r="E125" s="142"/>
      <c r="F125" s="142"/>
      <c r="G125" s="135"/>
      <c r="H125" s="135"/>
      <c r="I125" s="147"/>
      <c r="J125" s="148" t="s">
        <v>85</v>
      </c>
      <c r="K125" s="149"/>
      <c r="L125" s="137" t="s">
        <v>86</v>
      </c>
      <c r="M125" s="142"/>
      <c r="N125" s="142"/>
      <c r="O125" s="143"/>
      <c r="P125" s="143"/>
      <c r="Q125" s="7"/>
    </row>
    <row r="126" spans="2:17" ht="18" customHeight="1">
      <c r="B126" s="135"/>
      <c r="C126" s="150" t="s">
        <v>87</v>
      </c>
      <c r="D126" s="49">
        <f>Invoerenduet!$E$19</f>
        <v>0</v>
      </c>
      <c r="E126" s="151"/>
      <c r="F126" s="142"/>
      <c r="G126" s="135"/>
      <c r="H126" s="135"/>
      <c r="I126" s="147"/>
      <c r="J126" s="106"/>
      <c r="K126" s="152"/>
      <c r="L126" s="142"/>
      <c r="M126" s="148" t="s">
        <v>88</v>
      </c>
      <c r="N126" s="142">
        <f>Invoerenduet!$C$2</f>
        <v>50</v>
      </c>
      <c r="O126" s="153" t="s">
        <v>81</v>
      </c>
      <c r="P126" s="154"/>
      <c r="Q126" s="7">
        <f>Invoerenduet!$V$19</f>
      </c>
    </row>
    <row r="127" spans="2:17" ht="18" customHeight="1">
      <c r="B127" s="135"/>
      <c r="C127" s="150" t="s">
        <v>89</v>
      </c>
      <c r="D127" s="49">
        <f>Invoerenduet!$F$19</f>
        <v>0</v>
      </c>
      <c r="E127" s="151"/>
      <c r="F127" s="142"/>
      <c r="G127" s="135"/>
      <c r="H127" s="135"/>
      <c r="I127" s="155"/>
      <c r="J127" s="106"/>
      <c r="K127" s="152"/>
      <c r="L127" s="142"/>
      <c r="M127" s="156" t="s">
        <v>17</v>
      </c>
      <c r="N127" s="142"/>
      <c r="O127" s="142"/>
      <c r="P127" s="143">
        <f>P121+P122</f>
        <v>0</v>
      </c>
      <c r="Q127" s="157"/>
    </row>
    <row r="128" spans="2:17" ht="18" customHeight="1">
      <c r="B128" s="11"/>
      <c r="C128" s="158"/>
      <c r="D128" s="151"/>
      <c r="E128" s="158"/>
      <c r="F128" s="11"/>
      <c r="G128" s="11"/>
      <c r="H128" s="11"/>
      <c r="I128" s="11"/>
      <c r="J128" s="11"/>
      <c r="K128" s="11"/>
      <c r="L128" s="11"/>
      <c r="M128" s="159"/>
      <c r="N128" s="160"/>
      <c r="O128" s="158"/>
      <c r="P128" s="158"/>
      <c r="Q128" s="11"/>
    </row>
    <row r="129" spans="2:17" ht="18" customHeight="1">
      <c r="B129" s="155">
        <f>Invoerenduet!$A$20</f>
        <v>16</v>
      </c>
      <c r="C129" s="161">
        <f>Invoerenduet!$D$20</f>
        <v>0</v>
      </c>
      <c r="D129" s="125">
        <f>Invoerenduet!$Q$20</f>
        <v>0</v>
      </c>
      <c r="E129" s="126">
        <v>0.3</v>
      </c>
      <c r="F129" s="162"/>
      <c r="G129" s="162"/>
      <c r="H129" s="162"/>
      <c r="I129" s="163"/>
      <c r="J129" s="163"/>
      <c r="K129" s="136"/>
      <c r="L129" s="130" t="s">
        <v>79</v>
      </c>
      <c r="M129" s="164" t="s">
        <v>80</v>
      </c>
      <c r="N129" s="165">
        <f>Invoerenduet!$C$1</f>
        <v>50</v>
      </c>
      <c r="O129" s="166" t="s">
        <v>81</v>
      </c>
      <c r="P129" s="167">
        <f>ROUND(Invoerenduet!$BX$20*Invoerenduet!$C$1/100,4)</f>
        <v>0</v>
      </c>
      <c r="Q129" s="49">
        <f>Invoerenduet!$CB$20</f>
      </c>
    </row>
    <row r="130" spans="2:17" ht="18" customHeight="1">
      <c r="B130" s="135">
        <f>Invoerenduet!$I$20</f>
        <v>0</v>
      </c>
      <c r="C130" s="135">
        <f>Invoerenduet!$G$20</f>
        <v>0</v>
      </c>
      <c r="D130" s="135">
        <f>Invoerenduet!$H$20</f>
        <v>0</v>
      </c>
      <c r="E130" s="126">
        <v>0.4</v>
      </c>
      <c r="F130" s="127"/>
      <c r="G130" s="127"/>
      <c r="H130" s="127"/>
      <c r="I130" s="128"/>
      <c r="J130" s="128"/>
      <c r="K130" s="136"/>
      <c r="L130" s="137" t="s">
        <v>82</v>
      </c>
      <c r="M130" s="138" t="s">
        <v>83</v>
      </c>
      <c r="N130" s="139">
        <f>Invoerenduet!$C$3</f>
        <v>0</v>
      </c>
      <c r="O130" s="140" t="s">
        <v>81</v>
      </c>
      <c r="P130" s="141">
        <f>ROUND(Invoerenduet!$S$20*Invoerenduet!$C$3/100,4)</f>
        <v>0</v>
      </c>
      <c r="Q130" s="7">
        <f>Invoerenduet!$T$20</f>
      </c>
    </row>
    <row r="131" spans="2:17" ht="18" customHeight="1">
      <c r="B131" s="135">
        <f>Invoerenduet!$L$20</f>
        <v>0</v>
      </c>
      <c r="C131" s="135">
        <f>Invoerenduet!$J$20</f>
        <v>0</v>
      </c>
      <c r="D131" s="135">
        <f>Invoerenduet!$K$20</f>
        <v>0</v>
      </c>
      <c r="E131" s="126">
        <v>0.3</v>
      </c>
      <c r="F131" s="127"/>
      <c r="G131" s="127"/>
      <c r="H131" s="127"/>
      <c r="I131" s="128"/>
      <c r="J131" s="128"/>
      <c r="K131" s="136"/>
      <c r="L131" s="137" t="s">
        <v>84</v>
      </c>
      <c r="M131" s="142"/>
      <c r="N131" s="142"/>
      <c r="O131" s="143"/>
      <c r="P131" s="143"/>
      <c r="Q131" s="7"/>
    </row>
    <row r="132" spans="2:17" ht="18" customHeight="1">
      <c r="B132" s="135">
        <f>Invoerenduet!$O$20</f>
        <v>0</v>
      </c>
      <c r="C132" s="135">
        <f>Invoerenduet!$M$20</f>
        <v>0</v>
      </c>
      <c r="D132" s="135">
        <f>Invoerenduet!$N$20</f>
        <v>0</v>
      </c>
      <c r="E132" s="142"/>
      <c r="F132" s="142"/>
      <c r="G132" s="144"/>
      <c r="H132" s="144"/>
      <c r="I132" s="145"/>
      <c r="J132" s="145"/>
      <c r="K132" s="146">
        <f>SUM(K129:K131)</f>
        <v>0</v>
      </c>
      <c r="L132" s="142"/>
      <c r="M132" s="142"/>
      <c r="N132" s="142"/>
      <c r="O132" s="143"/>
      <c r="P132" s="143"/>
      <c r="Q132" s="7"/>
    </row>
    <row r="133" spans="2:17" ht="18" customHeight="1">
      <c r="B133" s="135"/>
      <c r="C133" s="135"/>
      <c r="D133" s="135"/>
      <c r="E133" s="142"/>
      <c r="F133" s="142"/>
      <c r="G133" s="135"/>
      <c r="H133" s="135"/>
      <c r="I133" s="147"/>
      <c r="J133" s="148" t="s">
        <v>85</v>
      </c>
      <c r="K133" s="149"/>
      <c r="L133" s="137" t="s">
        <v>86</v>
      </c>
      <c r="M133" s="142"/>
      <c r="N133" s="142"/>
      <c r="O133" s="143"/>
      <c r="P133" s="143"/>
      <c r="Q133" s="7"/>
    </row>
    <row r="134" spans="2:17" ht="18" customHeight="1">
      <c r="B134" s="135"/>
      <c r="C134" s="150" t="s">
        <v>87</v>
      </c>
      <c r="D134" s="49">
        <f>Invoerenduet!$E$20</f>
        <v>0</v>
      </c>
      <c r="E134" s="151"/>
      <c r="F134" s="142"/>
      <c r="G134" s="135"/>
      <c r="H134" s="135"/>
      <c r="I134" s="147"/>
      <c r="J134" s="106"/>
      <c r="K134" s="152"/>
      <c r="L134" s="142"/>
      <c r="M134" s="148" t="s">
        <v>88</v>
      </c>
      <c r="N134" s="142">
        <f>Invoerenduet!$C$2</f>
        <v>50</v>
      </c>
      <c r="O134" s="153" t="s">
        <v>81</v>
      </c>
      <c r="P134" s="154"/>
      <c r="Q134" s="7">
        <f>Invoerenduet!$V$20</f>
      </c>
    </row>
    <row r="135" spans="2:17" ht="18" customHeight="1">
      <c r="B135" s="135"/>
      <c r="C135" s="150" t="s">
        <v>89</v>
      </c>
      <c r="D135" s="49">
        <f>Invoerenduet!$F$20</f>
        <v>0</v>
      </c>
      <c r="E135" s="151"/>
      <c r="F135" s="142"/>
      <c r="G135" s="135"/>
      <c r="H135" s="135"/>
      <c r="I135" s="155"/>
      <c r="J135" s="106"/>
      <c r="K135" s="152"/>
      <c r="L135" s="142"/>
      <c r="M135" s="156" t="s">
        <v>17</v>
      </c>
      <c r="N135" s="142"/>
      <c r="O135" s="142"/>
      <c r="P135" s="143">
        <f>P129+P130</f>
        <v>0</v>
      </c>
      <c r="Q135" s="157"/>
    </row>
    <row r="136" spans="2:17" ht="18" customHeight="1">
      <c r="B136" s="11"/>
      <c r="C136" s="158"/>
      <c r="D136" s="151"/>
      <c r="E136" s="158"/>
      <c r="F136" s="11"/>
      <c r="G136" s="11"/>
      <c r="H136" s="11"/>
      <c r="I136" s="11"/>
      <c r="J136" s="11"/>
      <c r="K136" s="11"/>
      <c r="L136" s="11"/>
      <c r="M136" s="159"/>
      <c r="N136" s="160"/>
      <c r="O136" s="158"/>
      <c r="P136" s="158"/>
      <c r="Q136" s="11"/>
    </row>
    <row r="137" spans="2:17" ht="18" customHeight="1">
      <c r="B137" s="155">
        <f>Invoerenduet!$A$21</f>
        <v>17</v>
      </c>
      <c r="C137" s="161">
        <f>Invoerenduet!$D$21</f>
        <v>0</v>
      </c>
      <c r="D137" s="125">
        <f>Invoerenduet!$Q$21</f>
        <v>0</v>
      </c>
      <c r="E137" s="126">
        <v>0.3</v>
      </c>
      <c r="F137" s="162"/>
      <c r="G137" s="162"/>
      <c r="H137" s="162"/>
      <c r="I137" s="163"/>
      <c r="J137" s="163"/>
      <c r="K137" s="136"/>
      <c r="L137" s="130" t="s">
        <v>79</v>
      </c>
      <c r="M137" s="164" t="s">
        <v>80</v>
      </c>
      <c r="N137" s="165">
        <f>Invoerenduet!$C$1</f>
        <v>50</v>
      </c>
      <c r="O137" s="166" t="s">
        <v>81</v>
      </c>
      <c r="P137" s="167">
        <f>ROUND(Invoerenduet!$BX$21*Invoerenduet!$C$1/100,4)</f>
        <v>0</v>
      </c>
      <c r="Q137" s="49">
        <f>Invoerenduet!$CB$21</f>
      </c>
    </row>
    <row r="138" spans="2:17" ht="18" customHeight="1">
      <c r="B138" s="135">
        <f>Invoerenduet!$I$21</f>
        <v>0</v>
      </c>
      <c r="C138" s="135">
        <f>Invoerenduet!$G$21</f>
        <v>0</v>
      </c>
      <c r="D138" s="135">
        <f>Invoerenduet!$H$21</f>
        <v>0</v>
      </c>
      <c r="E138" s="126">
        <v>0.4</v>
      </c>
      <c r="F138" s="127"/>
      <c r="G138" s="127"/>
      <c r="H138" s="127"/>
      <c r="I138" s="128"/>
      <c r="J138" s="128"/>
      <c r="K138" s="136"/>
      <c r="L138" s="137" t="s">
        <v>82</v>
      </c>
      <c r="M138" s="138" t="s">
        <v>83</v>
      </c>
      <c r="N138" s="139">
        <f>Invoerenduet!$C$3</f>
        <v>0</v>
      </c>
      <c r="O138" s="140" t="s">
        <v>81</v>
      </c>
      <c r="P138" s="141">
        <f>ROUND(Invoerenduet!$S$21*Invoerenduet!$C$3/100,4)</f>
        <v>0</v>
      </c>
      <c r="Q138" s="7">
        <f>Invoerenduet!$T$21</f>
      </c>
    </row>
    <row r="139" spans="2:17" ht="18" customHeight="1">
      <c r="B139" s="135">
        <f>Invoerenduet!$L$21</f>
        <v>0</v>
      </c>
      <c r="C139" s="135">
        <f>Invoerenduet!$J$21</f>
        <v>0</v>
      </c>
      <c r="D139" s="135">
        <f>Invoerenduet!$K$21</f>
        <v>0</v>
      </c>
      <c r="E139" s="126">
        <v>0.3</v>
      </c>
      <c r="F139" s="127"/>
      <c r="G139" s="127"/>
      <c r="H139" s="127"/>
      <c r="I139" s="128"/>
      <c r="J139" s="128"/>
      <c r="K139" s="136"/>
      <c r="L139" s="137" t="s">
        <v>84</v>
      </c>
      <c r="M139" s="142"/>
      <c r="N139" s="142"/>
      <c r="O139" s="143"/>
      <c r="P139" s="143"/>
      <c r="Q139" s="7"/>
    </row>
    <row r="140" spans="2:17" ht="18" customHeight="1">
      <c r="B140" s="135">
        <f>Invoerenduet!$O$21</f>
        <v>0</v>
      </c>
      <c r="C140" s="135">
        <f>Invoerenduet!$M$21</f>
        <v>0</v>
      </c>
      <c r="D140" s="135">
        <f>Invoerenduet!$N$21</f>
        <v>0</v>
      </c>
      <c r="E140" s="142"/>
      <c r="F140" s="142"/>
      <c r="G140" s="144"/>
      <c r="H140" s="144"/>
      <c r="I140" s="145"/>
      <c r="J140" s="145"/>
      <c r="K140" s="146">
        <f>SUM(K137:K139)</f>
        <v>0</v>
      </c>
      <c r="L140" s="142"/>
      <c r="M140" s="142"/>
      <c r="N140" s="142"/>
      <c r="O140" s="143"/>
      <c r="P140" s="143"/>
      <c r="Q140" s="7"/>
    </row>
    <row r="141" spans="2:17" ht="18" customHeight="1">
      <c r="B141" s="135"/>
      <c r="C141" s="135"/>
      <c r="D141" s="135"/>
      <c r="E141" s="142"/>
      <c r="F141" s="142"/>
      <c r="G141" s="135"/>
      <c r="H141" s="135"/>
      <c r="I141" s="147"/>
      <c r="J141" s="148" t="s">
        <v>85</v>
      </c>
      <c r="K141" s="149"/>
      <c r="L141" s="137" t="s">
        <v>86</v>
      </c>
      <c r="M141" s="142"/>
      <c r="N141" s="142"/>
      <c r="O141" s="143"/>
      <c r="P141" s="143"/>
      <c r="Q141" s="7"/>
    </row>
    <row r="142" spans="2:17" ht="18" customHeight="1">
      <c r="B142" s="135"/>
      <c r="C142" s="150" t="s">
        <v>87</v>
      </c>
      <c r="D142" s="49">
        <f>Invoerenduet!$E$21</f>
        <v>0</v>
      </c>
      <c r="E142" s="151"/>
      <c r="F142" s="142"/>
      <c r="G142" s="135"/>
      <c r="H142" s="135"/>
      <c r="I142" s="147"/>
      <c r="J142" s="106"/>
      <c r="K142" s="152"/>
      <c r="L142" s="142"/>
      <c r="M142" s="148" t="s">
        <v>88</v>
      </c>
      <c r="N142" s="142">
        <f>Invoerenduet!$C$2</f>
        <v>50</v>
      </c>
      <c r="O142" s="153" t="s">
        <v>81</v>
      </c>
      <c r="P142" s="154"/>
      <c r="Q142" s="7">
        <f>Invoerenduet!$V$21</f>
      </c>
    </row>
    <row r="143" spans="2:17" ht="18" customHeight="1">
      <c r="B143" s="135"/>
      <c r="C143" s="150" t="s">
        <v>89</v>
      </c>
      <c r="D143" s="49">
        <f>Invoerenduet!$F$21</f>
        <v>0</v>
      </c>
      <c r="E143" s="151"/>
      <c r="F143" s="142"/>
      <c r="G143" s="135"/>
      <c r="H143" s="135"/>
      <c r="I143" s="155"/>
      <c r="J143" s="106"/>
      <c r="K143" s="152"/>
      <c r="L143" s="142"/>
      <c r="M143" s="156" t="s">
        <v>17</v>
      </c>
      <c r="N143" s="142"/>
      <c r="O143" s="142"/>
      <c r="P143" s="143">
        <f>P137+P138</f>
        <v>0</v>
      </c>
      <c r="Q143" s="157"/>
    </row>
    <row r="144" spans="2:17" ht="18" customHeight="1">
      <c r="B144" s="11"/>
      <c r="C144" s="158"/>
      <c r="D144" s="151"/>
      <c r="E144" s="158"/>
      <c r="F144" s="11"/>
      <c r="G144" s="11"/>
      <c r="H144" s="11"/>
      <c r="I144" s="11"/>
      <c r="J144" s="11"/>
      <c r="K144" s="11"/>
      <c r="L144" s="11"/>
      <c r="M144" s="159"/>
      <c r="N144" s="160"/>
      <c r="O144" s="158"/>
      <c r="P144" s="158"/>
      <c r="Q144" s="11"/>
    </row>
    <row r="145" spans="2:17" ht="18" customHeight="1">
      <c r="B145" s="155">
        <f>Invoerenduet!$A$22</f>
        <v>18</v>
      </c>
      <c r="C145" s="161">
        <f>Invoerenduet!$D$22</f>
        <v>0</v>
      </c>
      <c r="D145" s="125">
        <f>Invoerenduet!$Q$22</f>
        <v>0</v>
      </c>
      <c r="E145" s="126">
        <v>0.3</v>
      </c>
      <c r="F145" s="162"/>
      <c r="G145" s="162"/>
      <c r="H145" s="162"/>
      <c r="I145" s="163"/>
      <c r="J145" s="163"/>
      <c r="K145" s="136"/>
      <c r="L145" s="130" t="s">
        <v>79</v>
      </c>
      <c r="M145" s="164" t="s">
        <v>80</v>
      </c>
      <c r="N145" s="165">
        <f>Invoerenduet!$C$1</f>
        <v>50</v>
      </c>
      <c r="O145" s="166" t="s">
        <v>81</v>
      </c>
      <c r="P145" s="167">
        <f>ROUND(Invoerenduet!$BX$22*Invoerenduet!$C$1/100,4)</f>
        <v>0</v>
      </c>
      <c r="Q145" s="49">
        <f>Invoerenduet!$CB$22</f>
      </c>
    </row>
    <row r="146" spans="2:17" ht="18" customHeight="1">
      <c r="B146" s="135">
        <f>Invoerenduet!$I$22</f>
        <v>0</v>
      </c>
      <c r="C146" s="135">
        <f>Invoerenduet!$G$22</f>
        <v>0</v>
      </c>
      <c r="D146" s="135">
        <f>Invoerenduet!$H$22</f>
        <v>0</v>
      </c>
      <c r="E146" s="126">
        <v>0.4</v>
      </c>
      <c r="F146" s="127"/>
      <c r="G146" s="127"/>
      <c r="H146" s="127"/>
      <c r="I146" s="128"/>
      <c r="J146" s="128"/>
      <c r="K146" s="136"/>
      <c r="L146" s="137" t="s">
        <v>82</v>
      </c>
      <c r="M146" s="138" t="s">
        <v>83</v>
      </c>
      <c r="N146" s="139">
        <f>Invoerenduet!$C$3</f>
        <v>0</v>
      </c>
      <c r="O146" s="140" t="s">
        <v>81</v>
      </c>
      <c r="P146" s="141">
        <f>ROUND(Invoerenduet!$S$22*Invoerenduet!$C$3/100,4)</f>
        <v>0</v>
      </c>
      <c r="Q146" s="7">
        <f>Invoerenduet!$T$22</f>
      </c>
    </row>
    <row r="147" spans="2:17" ht="18" customHeight="1">
      <c r="B147" s="135">
        <f>Invoerenduet!$L$22</f>
        <v>0</v>
      </c>
      <c r="C147" s="135">
        <f>Invoerenduet!$J$22</f>
        <v>0</v>
      </c>
      <c r="D147" s="135">
        <f>Invoerenduet!$K$22</f>
        <v>0</v>
      </c>
      <c r="E147" s="126">
        <v>0.3</v>
      </c>
      <c r="F147" s="127"/>
      <c r="G147" s="127"/>
      <c r="H147" s="127"/>
      <c r="I147" s="128"/>
      <c r="J147" s="128"/>
      <c r="K147" s="136"/>
      <c r="L147" s="137" t="s">
        <v>84</v>
      </c>
      <c r="M147" s="142"/>
      <c r="N147" s="142"/>
      <c r="O147" s="143"/>
      <c r="P147" s="143"/>
      <c r="Q147" s="7"/>
    </row>
    <row r="148" spans="2:17" ht="18" customHeight="1">
      <c r="B148" s="135">
        <f>Invoerenduet!$O$22</f>
        <v>0</v>
      </c>
      <c r="C148" s="135">
        <f>Invoerenduet!$M$22</f>
        <v>0</v>
      </c>
      <c r="D148" s="135">
        <f>Invoerenduet!$N$22</f>
        <v>0</v>
      </c>
      <c r="E148" s="142"/>
      <c r="F148" s="142"/>
      <c r="G148" s="144"/>
      <c r="H148" s="144"/>
      <c r="I148" s="145"/>
      <c r="J148" s="145"/>
      <c r="K148" s="146">
        <f>SUM(K145:K147)</f>
        <v>0</v>
      </c>
      <c r="L148" s="142"/>
      <c r="M148" s="142"/>
      <c r="N148" s="142"/>
      <c r="O148" s="143"/>
      <c r="P148" s="143"/>
      <c r="Q148" s="7"/>
    </row>
    <row r="149" spans="2:17" ht="18" customHeight="1">
      <c r="B149" s="135"/>
      <c r="C149" s="135"/>
      <c r="D149" s="135"/>
      <c r="E149" s="142"/>
      <c r="F149" s="142"/>
      <c r="G149" s="135"/>
      <c r="H149" s="135"/>
      <c r="I149" s="147"/>
      <c r="J149" s="148" t="s">
        <v>85</v>
      </c>
      <c r="K149" s="149"/>
      <c r="L149" s="137" t="s">
        <v>86</v>
      </c>
      <c r="M149" s="142"/>
      <c r="N149" s="142"/>
      <c r="O149" s="143"/>
      <c r="P149" s="143"/>
      <c r="Q149" s="7"/>
    </row>
    <row r="150" spans="2:17" ht="18" customHeight="1">
      <c r="B150" s="135"/>
      <c r="C150" s="150" t="s">
        <v>87</v>
      </c>
      <c r="D150" s="49">
        <f>Invoerenduet!$E$22</f>
        <v>0</v>
      </c>
      <c r="E150" s="151"/>
      <c r="F150" s="142"/>
      <c r="G150" s="135"/>
      <c r="H150" s="135"/>
      <c r="I150" s="147"/>
      <c r="J150" s="106"/>
      <c r="K150" s="152"/>
      <c r="L150" s="142"/>
      <c r="M150" s="148" t="s">
        <v>88</v>
      </c>
      <c r="N150" s="142">
        <f>Invoerenduet!$C$2</f>
        <v>50</v>
      </c>
      <c r="O150" s="153" t="s">
        <v>81</v>
      </c>
      <c r="P150" s="154"/>
      <c r="Q150" s="7">
        <f>Invoerenduet!$V$22</f>
      </c>
    </row>
    <row r="151" spans="2:17" ht="18" customHeight="1">
      <c r="B151" s="135"/>
      <c r="C151" s="150" t="s">
        <v>89</v>
      </c>
      <c r="D151" s="49">
        <f>Invoerenduet!$F$22</f>
        <v>0</v>
      </c>
      <c r="E151" s="151"/>
      <c r="F151" s="142"/>
      <c r="G151" s="135"/>
      <c r="H151" s="135"/>
      <c r="I151" s="155"/>
      <c r="J151" s="106"/>
      <c r="K151" s="152"/>
      <c r="L151" s="142"/>
      <c r="M151" s="156" t="s">
        <v>17</v>
      </c>
      <c r="N151" s="142"/>
      <c r="O151" s="142"/>
      <c r="P151" s="143">
        <f>P145+P146</f>
        <v>0</v>
      </c>
      <c r="Q151" s="157"/>
    </row>
    <row r="152" spans="2:17" ht="18" customHeight="1">
      <c r="B152" s="11"/>
      <c r="C152" s="158"/>
      <c r="D152" s="151"/>
      <c r="E152" s="158"/>
      <c r="F152" s="11"/>
      <c r="G152" s="11"/>
      <c r="H152" s="11"/>
      <c r="I152" s="11"/>
      <c r="J152" s="11"/>
      <c r="K152" s="11"/>
      <c r="L152" s="11"/>
      <c r="M152" s="159"/>
      <c r="N152" s="160"/>
      <c r="O152" s="158"/>
      <c r="P152" s="158"/>
      <c r="Q152" s="11"/>
    </row>
    <row r="153" spans="2:17" ht="18" customHeight="1">
      <c r="B153" s="155">
        <f>Invoerenduet!$A$23</f>
        <v>19</v>
      </c>
      <c r="C153" s="161">
        <f>Invoerenduet!$D$23</f>
        <v>0</v>
      </c>
      <c r="D153" s="125">
        <f>Invoerenduet!$Q$23</f>
        <v>0</v>
      </c>
      <c r="E153" s="126">
        <v>0.3</v>
      </c>
      <c r="F153" s="162"/>
      <c r="G153" s="162"/>
      <c r="H153" s="162"/>
      <c r="I153" s="163"/>
      <c r="J153" s="163"/>
      <c r="K153" s="136"/>
      <c r="L153" s="130" t="s">
        <v>79</v>
      </c>
      <c r="M153" s="164" t="s">
        <v>80</v>
      </c>
      <c r="N153" s="165">
        <f>Invoerenduet!$C$1</f>
        <v>50</v>
      </c>
      <c r="O153" s="166" t="s">
        <v>81</v>
      </c>
      <c r="P153" s="167">
        <f>ROUND(Invoerenduet!$BX$23*Invoerenduet!$C$1/100,4)</f>
        <v>0</v>
      </c>
      <c r="Q153" s="49">
        <f>Invoerenduet!$CB$23</f>
      </c>
    </row>
    <row r="154" spans="2:17" ht="18" customHeight="1">
      <c r="B154" s="135">
        <f>Invoerenduet!$I$23</f>
        <v>0</v>
      </c>
      <c r="C154" s="135">
        <f>Invoerenduet!$G$23</f>
        <v>0</v>
      </c>
      <c r="D154" s="135">
        <f>Invoerenduet!$H$23</f>
        <v>0</v>
      </c>
      <c r="E154" s="126">
        <v>0.4</v>
      </c>
      <c r="F154" s="127"/>
      <c r="G154" s="127"/>
      <c r="H154" s="127"/>
      <c r="I154" s="128"/>
      <c r="J154" s="128"/>
      <c r="K154" s="136"/>
      <c r="L154" s="137" t="s">
        <v>82</v>
      </c>
      <c r="M154" s="138" t="s">
        <v>83</v>
      </c>
      <c r="N154" s="139">
        <f>Invoerenduet!$C$3</f>
        <v>0</v>
      </c>
      <c r="O154" s="140" t="s">
        <v>81</v>
      </c>
      <c r="P154" s="141">
        <f>ROUND(Invoerenduet!$S$23*Invoerenduet!$C$3/100,4)</f>
        <v>0</v>
      </c>
      <c r="Q154" s="7">
        <f>Invoerenduet!$T$23</f>
      </c>
    </row>
    <row r="155" spans="2:17" ht="18" customHeight="1">
      <c r="B155" s="135">
        <f>Invoerenduet!$L$23</f>
        <v>0</v>
      </c>
      <c r="C155" s="135">
        <f>Invoerenduet!$J$23</f>
        <v>0</v>
      </c>
      <c r="D155" s="135">
        <f>Invoerenduet!$K$23</f>
        <v>0</v>
      </c>
      <c r="E155" s="126">
        <v>0.3</v>
      </c>
      <c r="F155" s="127"/>
      <c r="G155" s="127"/>
      <c r="H155" s="127"/>
      <c r="I155" s="128"/>
      <c r="J155" s="128"/>
      <c r="K155" s="136"/>
      <c r="L155" s="137" t="s">
        <v>84</v>
      </c>
      <c r="M155" s="142"/>
      <c r="N155" s="142"/>
      <c r="O155" s="143"/>
      <c r="P155" s="143"/>
      <c r="Q155" s="7"/>
    </row>
    <row r="156" spans="2:17" ht="18" customHeight="1">
      <c r="B156" s="135">
        <f>Invoerenduet!$O$23</f>
        <v>0</v>
      </c>
      <c r="C156" s="135">
        <f>Invoerenduet!$M$23</f>
        <v>0</v>
      </c>
      <c r="D156" s="135">
        <f>Invoerenduet!$N$23</f>
        <v>0</v>
      </c>
      <c r="E156" s="142"/>
      <c r="F156" s="142"/>
      <c r="G156" s="144"/>
      <c r="H156" s="144"/>
      <c r="I156" s="145"/>
      <c r="J156" s="145"/>
      <c r="K156" s="146">
        <f>SUM(K153:K155)</f>
        <v>0</v>
      </c>
      <c r="L156" s="142"/>
      <c r="M156" s="142"/>
      <c r="N156" s="142"/>
      <c r="O156" s="143"/>
      <c r="P156" s="143"/>
      <c r="Q156" s="7"/>
    </row>
    <row r="157" spans="2:17" ht="18" customHeight="1">
      <c r="B157" s="135"/>
      <c r="C157" s="135"/>
      <c r="D157" s="135"/>
      <c r="E157" s="142"/>
      <c r="F157" s="142"/>
      <c r="G157" s="135"/>
      <c r="H157" s="135"/>
      <c r="I157" s="147"/>
      <c r="J157" s="148" t="s">
        <v>85</v>
      </c>
      <c r="K157" s="149"/>
      <c r="L157" s="137" t="s">
        <v>86</v>
      </c>
      <c r="M157" s="142"/>
      <c r="N157" s="142"/>
      <c r="O157" s="143"/>
      <c r="P157" s="143"/>
      <c r="Q157" s="7"/>
    </row>
    <row r="158" spans="2:17" ht="18" customHeight="1">
      <c r="B158" s="135"/>
      <c r="C158" s="150" t="s">
        <v>87</v>
      </c>
      <c r="D158" s="49">
        <f>Invoerenduet!$E$23</f>
        <v>0</v>
      </c>
      <c r="E158" s="151"/>
      <c r="F158" s="142"/>
      <c r="G158" s="135"/>
      <c r="H158" s="135"/>
      <c r="I158" s="147"/>
      <c r="J158" s="106"/>
      <c r="K158" s="152"/>
      <c r="L158" s="142"/>
      <c r="M158" s="148" t="s">
        <v>88</v>
      </c>
      <c r="N158" s="142">
        <f>Invoerenduet!$C$2</f>
        <v>50</v>
      </c>
      <c r="O158" s="153" t="s">
        <v>81</v>
      </c>
      <c r="P158" s="154"/>
      <c r="Q158" s="7">
        <f>Invoerenduet!$V$23</f>
      </c>
    </row>
    <row r="159" spans="2:17" ht="18" customHeight="1">
      <c r="B159" s="135"/>
      <c r="C159" s="150" t="s">
        <v>89</v>
      </c>
      <c r="D159" s="49">
        <f>Invoerenduet!$F$23</f>
        <v>0</v>
      </c>
      <c r="E159" s="151"/>
      <c r="F159" s="142"/>
      <c r="G159" s="135"/>
      <c r="H159" s="135"/>
      <c r="I159" s="155"/>
      <c r="J159" s="106"/>
      <c r="K159" s="152"/>
      <c r="L159" s="142"/>
      <c r="M159" s="156" t="s">
        <v>17</v>
      </c>
      <c r="N159" s="142"/>
      <c r="O159" s="142"/>
      <c r="P159" s="143">
        <f>P153+P154</f>
        <v>0</v>
      </c>
      <c r="Q159" s="157"/>
    </row>
    <row r="160" spans="2:17" ht="18" customHeight="1">
      <c r="B160" s="11"/>
      <c r="C160" s="158"/>
      <c r="D160" s="151"/>
      <c r="E160" s="158"/>
      <c r="F160" s="11"/>
      <c r="G160" s="11"/>
      <c r="H160" s="11"/>
      <c r="I160" s="11"/>
      <c r="J160" s="11"/>
      <c r="K160" s="11"/>
      <c r="L160" s="11"/>
      <c r="M160" s="159"/>
      <c r="N160" s="160"/>
      <c r="O160" s="158"/>
      <c r="P160" s="158"/>
      <c r="Q160" s="11"/>
    </row>
    <row r="161" spans="2:17" ht="18" customHeight="1">
      <c r="B161" s="155">
        <f>Invoerenduet!$A$24</f>
        <v>20</v>
      </c>
      <c r="C161" s="161">
        <f>Invoerenduet!$D$24</f>
        <v>0</v>
      </c>
      <c r="D161" s="125">
        <f>Invoerenduet!$Q$24</f>
        <v>0</v>
      </c>
      <c r="E161" s="126">
        <v>0.3</v>
      </c>
      <c r="F161" s="162"/>
      <c r="G161" s="162"/>
      <c r="H161" s="162"/>
      <c r="I161" s="163"/>
      <c r="J161" s="163"/>
      <c r="K161" s="136"/>
      <c r="L161" s="130" t="s">
        <v>79</v>
      </c>
      <c r="M161" s="164" t="s">
        <v>80</v>
      </c>
      <c r="N161" s="165">
        <f>Invoerenduet!$C$1</f>
        <v>50</v>
      </c>
      <c r="O161" s="166" t="s">
        <v>81</v>
      </c>
      <c r="P161" s="167">
        <f>ROUND(Invoerenduet!$BX$24*Invoerenduet!$C$1/100,4)</f>
        <v>0</v>
      </c>
      <c r="Q161" s="49">
        <f>Invoerenduet!$CB$24</f>
      </c>
    </row>
    <row r="162" spans="2:17" ht="18" customHeight="1">
      <c r="B162" s="135">
        <f>Invoerenduet!$I$24</f>
        <v>0</v>
      </c>
      <c r="C162" s="135">
        <f>Invoerenduet!$G$24</f>
        <v>0</v>
      </c>
      <c r="D162" s="135">
        <f>Invoerenduet!$H$24</f>
        <v>0</v>
      </c>
      <c r="E162" s="126">
        <v>0.4</v>
      </c>
      <c r="F162" s="127"/>
      <c r="G162" s="127"/>
      <c r="H162" s="127"/>
      <c r="I162" s="128"/>
      <c r="J162" s="128"/>
      <c r="K162" s="136"/>
      <c r="L162" s="137" t="s">
        <v>82</v>
      </c>
      <c r="M162" s="138" t="s">
        <v>83</v>
      </c>
      <c r="N162" s="139">
        <f>Invoerenduet!$C$3</f>
        <v>0</v>
      </c>
      <c r="O162" s="140" t="s">
        <v>81</v>
      </c>
      <c r="P162" s="141">
        <f>ROUND(Invoerenduet!$S$24*Invoerenduet!$C$3/100,4)</f>
        <v>0</v>
      </c>
      <c r="Q162" s="7">
        <f>Invoerenduet!$T$24</f>
      </c>
    </row>
    <row r="163" spans="2:17" ht="18" customHeight="1">
      <c r="B163" s="135">
        <f>Invoerenduet!$L$24</f>
        <v>0</v>
      </c>
      <c r="C163" s="135">
        <f>Invoerenduet!$J$24</f>
        <v>0</v>
      </c>
      <c r="D163" s="135">
        <f>Invoerenduet!$K$24</f>
        <v>0</v>
      </c>
      <c r="E163" s="126">
        <v>0.3</v>
      </c>
      <c r="F163" s="127"/>
      <c r="G163" s="127"/>
      <c r="H163" s="127"/>
      <c r="I163" s="128"/>
      <c r="J163" s="128"/>
      <c r="K163" s="136"/>
      <c r="L163" s="137" t="s">
        <v>84</v>
      </c>
      <c r="M163" s="142"/>
      <c r="N163" s="142"/>
      <c r="O163" s="143"/>
      <c r="P163" s="143"/>
      <c r="Q163" s="7"/>
    </row>
    <row r="164" spans="2:17" ht="18" customHeight="1">
      <c r="B164" s="135">
        <f>Invoerenduet!$O$24</f>
        <v>0</v>
      </c>
      <c r="C164" s="135">
        <f>Invoerenduet!$M$24</f>
        <v>0</v>
      </c>
      <c r="D164" s="135">
        <f>Invoerenduet!$N$24</f>
        <v>0</v>
      </c>
      <c r="E164" s="142"/>
      <c r="F164" s="142"/>
      <c r="G164" s="144"/>
      <c r="H164" s="144"/>
      <c r="I164" s="145"/>
      <c r="J164" s="145"/>
      <c r="K164" s="146">
        <f>SUM(K161:K163)</f>
        <v>0</v>
      </c>
      <c r="L164" s="142"/>
      <c r="M164" s="142"/>
      <c r="N164" s="142"/>
      <c r="O164" s="143"/>
      <c r="P164" s="143"/>
      <c r="Q164" s="7"/>
    </row>
    <row r="165" spans="2:17" ht="18" customHeight="1">
      <c r="B165" s="135"/>
      <c r="C165" s="135"/>
      <c r="D165" s="135"/>
      <c r="E165" s="142"/>
      <c r="F165" s="142"/>
      <c r="G165" s="135"/>
      <c r="H165" s="135"/>
      <c r="I165" s="147"/>
      <c r="J165" s="148" t="s">
        <v>85</v>
      </c>
      <c r="K165" s="149"/>
      <c r="L165" s="137" t="s">
        <v>86</v>
      </c>
      <c r="M165" s="142"/>
      <c r="N165" s="142"/>
      <c r="O165" s="143"/>
      <c r="P165" s="143"/>
      <c r="Q165" s="7"/>
    </row>
    <row r="166" spans="2:17" ht="18" customHeight="1">
      <c r="B166" s="135"/>
      <c r="C166" s="150" t="s">
        <v>87</v>
      </c>
      <c r="D166" s="49">
        <f>Invoerenduet!$E$24</f>
        <v>0</v>
      </c>
      <c r="E166" s="151"/>
      <c r="F166" s="142"/>
      <c r="G166" s="135"/>
      <c r="H166" s="135"/>
      <c r="I166" s="147"/>
      <c r="J166" s="106"/>
      <c r="K166" s="152"/>
      <c r="L166" s="142"/>
      <c r="M166" s="148" t="s">
        <v>88</v>
      </c>
      <c r="N166" s="142">
        <f>Invoerenduet!$C$2</f>
        <v>50</v>
      </c>
      <c r="O166" s="153" t="s">
        <v>81</v>
      </c>
      <c r="P166" s="154"/>
      <c r="Q166" s="7">
        <f>Invoerenduet!$V$24</f>
      </c>
    </row>
    <row r="167" spans="2:17" ht="18" customHeight="1">
      <c r="B167" s="135"/>
      <c r="C167" s="150" t="s">
        <v>89</v>
      </c>
      <c r="D167" s="49">
        <f>Invoerenduet!$F$24</f>
        <v>0</v>
      </c>
      <c r="E167" s="151"/>
      <c r="F167" s="142"/>
      <c r="G167" s="135"/>
      <c r="H167" s="135"/>
      <c r="I167" s="155"/>
      <c r="J167" s="106"/>
      <c r="K167" s="152"/>
      <c r="L167" s="142"/>
      <c r="M167" s="156" t="s">
        <v>17</v>
      </c>
      <c r="N167" s="142"/>
      <c r="O167" s="142"/>
      <c r="P167" s="143">
        <f>P161+P162</f>
        <v>0</v>
      </c>
      <c r="Q167" s="157"/>
    </row>
    <row r="168" spans="2:17" ht="18" customHeight="1">
      <c r="B168" s="11"/>
      <c r="C168" s="158"/>
      <c r="D168" s="151"/>
      <c r="E168" s="158"/>
      <c r="F168" s="11"/>
      <c r="G168" s="11"/>
      <c r="H168" s="11"/>
      <c r="I168" s="11"/>
      <c r="J168" s="11"/>
      <c r="K168" s="11"/>
      <c r="L168" s="11"/>
      <c r="M168" s="159"/>
      <c r="N168" s="160"/>
      <c r="O168" s="158"/>
      <c r="P168" s="158"/>
      <c r="Q168" s="11"/>
    </row>
    <row r="169" spans="2:17" ht="18" customHeight="1">
      <c r="B169" s="155">
        <f>Invoerenduet!$A$25</f>
        <v>21</v>
      </c>
      <c r="C169" s="161">
        <f>Invoerenduet!$D$25</f>
        <v>0</v>
      </c>
      <c r="D169" s="125">
        <f>Invoerenduet!$Q$25</f>
        <v>0</v>
      </c>
      <c r="E169" s="126">
        <v>0.3</v>
      </c>
      <c r="F169" s="162"/>
      <c r="G169" s="162"/>
      <c r="H169" s="162"/>
      <c r="I169" s="163"/>
      <c r="J169" s="163"/>
      <c r="K169" s="136"/>
      <c r="L169" s="130" t="s">
        <v>79</v>
      </c>
      <c r="M169" s="164" t="s">
        <v>80</v>
      </c>
      <c r="N169" s="165">
        <f>Invoerenduet!$C$1</f>
        <v>50</v>
      </c>
      <c r="O169" s="166" t="s">
        <v>81</v>
      </c>
      <c r="P169" s="167">
        <f>ROUND(Invoerenduet!$BX$25*Invoerenduet!$C$1/100,4)</f>
        <v>0</v>
      </c>
      <c r="Q169" s="49">
        <f>Invoerenduet!$CB$25</f>
      </c>
    </row>
    <row r="170" spans="2:17" ht="18" customHeight="1">
      <c r="B170" s="135">
        <f>Invoerenduet!$I$25</f>
        <v>0</v>
      </c>
      <c r="C170" s="135">
        <f>Invoerenduet!$G$25</f>
        <v>0</v>
      </c>
      <c r="D170" s="135">
        <f>Invoerenduet!$H$25</f>
        <v>0</v>
      </c>
      <c r="E170" s="126">
        <v>0.4</v>
      </c>
      <c r="F170" s="127"/>
      <c r="G170" s="127"/>
      <c r="H170" s="127"/>
      <c r="I170" s="128"/>
      <c r="J170" s="128"/>
      <c r="K170" s="136"/>
      <c r="L170" s="137" t="s">
        <v>82</v>
      </c>
      <c r="M170" s="138" t="s">
        <v>83</v>
      </c>
      <c r="N170" s="139">
        <f>Invoerenduet!$C$3</f>
        <v>0</v>
      </c>
      <c r="O170" s="140" t="s">
        <v>81</v>
      </c>
      <c r="P170" s="141">
        <f>ROUND(Invoerenduet!$S$25*Invoerenduet!$C$3/100,4)</f>
        <v>0</v>
      </c>
      <c r="Q170" s="7">
        <f>Invoerenduet!$T$25</f>
      </c>
    </row>
    <row r="171" spans="2:17" ht="18" customHeight="1">
      <c r="B171" s="135">
        <f>Invoerenduet!$L$25</f>
        <v>0</v>
      </c>
      <c r="C171" s="135">
        <f>Invoerenduet!$J$25</f>
        <v>0</v>
      </c>
      <c r="D171" s="135">
        <f>Invoerenduet!$K$25</f>
        <v>0</v>
      </c>
      <c r="E171" s="126">
        <v>0.3</v>
      </c>
      <c r="F171" s="127"/>
      <c r="G171" s="127"/>
      <c r="H171" s="127"/>
      <c r="I171" s="128"/>
      <c r="J171" s="128"/>
      <c r="K171" s="136"/>
      <c r="L171" s="137" t="s">
        <v>84</v>
      </c>
      <c r="M171" s="142"/>
      <c r="N171" s="142"/>
      <c r="O171" s="143"/>
      <c r="P171" s="143"/>
      <c r="Q171" s="7"/>
    </row>
    <row r="172" spans="2:17" ht="18" customHeight="1">
      <c r="B172" s="135">
        <f>Invoerenduet!$O$25</f>
        <v>0</v>
      </c>
      <c r="C172" s="135">
        <f>Invoerenduet!$M$25</f>
        <v>0</v>
      </c>
      <c r="D172" s="135">
        <f>Invoerenduet!$N$25</f>
        <v>0</v>
      </c>
      <c r="E172" s="142"/>
      <c r="F172" s="142"/>
      <c r="G172" s="144"/>
      <c r="H172" s="144"/>
      <c r="I172" s="145"/>
      <c r="J172" s="145"/>
      <c r="K172" s="146">
        <f>SUM(K169:K171)</f>
        <v>0</v>
      </c>
      <c r="L172" s="142"/>
      <c r="M172" s="142"/>
      <c r="N172" s="142"/>
      <c r="O172" s="143"/>
      <c r="P172" s="143"/>
      <c r="Q172" s="7"/>
    </row>
    <row r="173" spans="2:17" ht="18" customHeight="1">
      <c r="B173" s="135"/>
      <c r="C173" s="135"/>
      <c r="D173" s="135"/>
      <c r="E173" s="142"/>
      <c r="F173" s="142"/>
      <c r="G173" s="135"/>
      <c r="H173" s="135"/>
      <c r="I173" s="147"/>
      <c r="J173" s="148" t="s">
        <v>85</v>
      </c>
      <c r="K173" s="149"/>
      <c r="L173" s="137" t="s">
        <v>86</v>
      </c>
      <c r="M173" s="142"/>
      <c r="N173" s="142"/>
      <c r="O173" s="143"/>
      <c r="P173" s="143"/>
      <c r="Q173" s="7"/>
    </row>
    <row r="174" spans="2:17" ht="18" customHeight="1">
      <c r="B174" s="135"/>
      <c r="C174" s="150" t="s">
        <v>87</v>
      </c>
      <c r="D174" s="49">
        <f>Invoerenduet!$E$25</f>
        <v>0</v>
      </c>
      <c r="E174" s="151"/>
      <c r="F174" s="142"/>
      <c r="G174" s="135"/>
      <c r="H174" s="135"/>
      <c r="I174" s="147"/>
      <c r="J174" s="106"/>
      <c r="K174" s="152"/>
      <c r="L174" s="142"/>
      <c r="M174" s="148" t="s">
        <v>88</v>
      </c>
      <c r="N174" s="142">
        <f>Invoerenduet!$C$2</f>
        <v>50</v>
      </c>
      <c r="O174" s="153" t="s">
        <v>81</v>
      </c>
      <c r="P174" s="154"/>
      <c r="Q174" s="7">
        <f>Invoerenduet!$V$25</f>
      </c>
    </row>
    <row r="175" spans="2:17" ht="18" customHeight="1">
      <c r="B175" s="135"/>
      <c r="C175" s="150" t="s">
        <v>89</v>
      </c>
      <c r="D175" s="49">
        <f>Invoerenduet!$F$25</f>
        <v>0</v>
      </c>
      <c r="E175" s="151"/>
      <c r="F175" s="142"/>
      <c r="G175" s="135"/>
      <c r="H175" s="135"/>
      <c r="I175" s="155"/>
      <c r="J175" s="106"/>
      <c r="K175" s="152"/>
      <c r="L175" s="142"/>
      <c r="M175" s="156" t="s">
        <v>17</v>
      </c>
      <c r="N175" s="142"/>
      <c r="O175" s="142"/>
      <c r="P175" s="143">
        <f>P169+P170</f>
        <v>0</v>
      </c>
      <c r="Q175" s="157"/>
    </row>
    <row r="176" spans="2:17" ht="18" customHeight="1">
      <c r="B176" s="11"/>
      <c r="C176" s="158"/>
      <c r="D176" s="151"/>
      <c r="E176" s="158"/>
      <c r="F176" s="11"/>
      <c r="G176" s="11"/>
      <c r="H176" s="11"/>
      <c r="I176" s="11"/>
      <c r="J176" s="11"/>
      <c r="K176" s="11"/>
      <c r="L176" s="11"/>
      <c r="M176" s="159"/>
      <c r="N176" s="160"/>
      <c r="O176" s="158"/>
      <c r="P176" s="158"/>
      <c r="Q176" s="11"/>
    </row>
    <row r="177" spans="2:17" ht="18" customHeight="1">
      <c r="B177" s="155">
        <f>Invoerenduet!$A$26</f>
        <v>22</v>
      </c>
      <c r="C177" s="161">
        <f>Invoerenduet!$D$26</f>
        <v>0</v>
      </c>
      <c r="D177" s="125">
        <f>Invoerenduet!$Q$26</f>
        <v>0</v>
      </c>
      <c r="E177" s="126">
        <v>0.3</v>
      </c>
      <c r="F177" s="162"/>
      <c r="G177" s="162"/>
      <c r="H177" s="162"/>
      <c r="I177" s="163"/>
      <c r="J177" s="163"/>
      <c r="K177" s="136"/>
      <c r="L177" s="130" t="s">
        <v>79</v>
      </c>
      <c r="M177" s="164" t="s">
        <v>80</v>
      </c>
      <c r="N177" s="165">
        <f>Invoerenduet!$C$1</f>
        <v>50</v>
      </c>
      <c r="O177" s="166" t="s">
        <v>81</v>
      </c>
      <c r="P177" s="167">
        <f>ROUND(Invoerenduet!$BX$26*Invoerenduet!$C$1/100,4)</f>
        <v>0</v>
      </c>
      <c r="Q177" s="49">
        <f>Invoerenduet!$CB$26</f>
      </c>
    </row>
    <row r="178" spans="2:17" ht="18" customHeight="1">
      <c r="B178" s="135">
        <f>Invoerenduet!$I$26</f>
        <v>0</v>
      </c>
      <c r="C178" s="135">
        <f>Invoerenduet!$G$26</f>
        <v>0</v>
      </c>
      <c r="D178" s="135">
        <f>Invoerenduet!$H$26</f>
        <v>0</v>
      </c>
      <c r="E178" s="126">
        <v>0.4</v>
      </c>
      <c r="F178" s="127"/>
      <c r="G178" s="127"/>
      <c r="H178" s="127"/>
      <c r="I178" s="128"/>
      <c r="J178" s="128"/>
      <c r="K178" s="136"/>
      <c r="L178" s="137" t="s">
        <v>82</v>
      </c>
      <c r="M178" s="138" t="s">
        <v>83</v>
      </c>
      <c r="N178" s="139">
        <f>Invoerenduet!$C$3</f>
        <v>0</v>
      </c>
      <c r="O178" s="140" t="s">
        <v>81</v>
      </c>
      <c r="P178" s="141">
        <f>ROUND(Invoerenduet!$S$26*Invoerenduet!$C$3/100,4)</f>
        <v>0</v>
      </c>
      <c r="Q178" s="7">
        <f>Invoerenduet!$T$26</f>
      </c>
    </row>
    <row r="179" spans="2:17" ht="18" customHeight="1">
      <c r="B179" s="135">
        <f>Invoerenduet!$L$26</f>
        <v>0</v>
      </c>
      <c r="C179" s="135">
        <f>Invoerenduet!$J$26</f>
        <v>0</v>
      </c>
      <c r="D179" s="135">
        <f>Invoerenduet!$K$26</f>
        <v>0</v>
      </c>
      <c r="E179" s="126">
        <v>0.3</v>
      </c>
      <c r="F179" s="127"/>
      <c r="G179" s="127"/>
      <c r="H179" s="127"/>
      <c r="I179" s="128"/>
      <c r="J179" s="128"/>
      <c r="K179" s="136"/>
      <c r="L179" s="137" t="s">
        <v>84</v>
      </c>
      <c r="M179" s="142"/>
      <c r="N179" s="142"/>
      <c r="O179" s="143"/>
      <c r="P179" s="143"/>
      <c r="Q179" s="7"/>
    </row>
    <row r="180" spans="2:17" ht="18" customHeight="1">
      <c r="B180" s="135">
        <f>Invoerenduet!$O$26</f>
        <v>0</v>
      </c>
      <c r="C180" s="135">
        <f>Invoerenduet!$M$26</f>
        <v>0</v>
      </c>
      <c r="D180" s="135">
        <f>Invoerenduet!$N$26</f>
        <v>0</v>
      </c>
      <c r="E180" s="142"/>
      <c r="F180" s="142"/>
      <c r="G180" s="144"/>
      <c r="H180" s="144"/>
      <c r="I180" s="145"/>
      <c r="J180" s="145"/>
      <c r="K180" s="146">
        <f>SUM(K177:K179)</f>
        <v>0</v>
      </c>
      <c r="L180" s="142"/>
      <c r="M180" s="142"/>
      <c r="N180" s="142"/>
      <c r="O180" s="143"/>
      <c r="P180" s="143"/>
      <c r="Q180" s="7"/>
    </row>
    <row r="181" spans="2:17" ht="18" customHeight="1">
      <c r="B181" s="135"/>
      <c r="C181" s="135"/>
      <c r="D181" s="135"/>
      <c r="E181" s="142"/>
      <c r="F181" s="142"/>
      <c r="G181" s="135"/>
      <c r="H181" s="135"/>
      <c r="I181" s="147"/>
      <c r="J181" s="148" t="s">
        <v>85</v>
      </c>
      <c r="K181" s="149"/>
      <c r="L181" s="137" t="s">
        <v>86</v>
      </c>
      <c r="M181" s="142"/>
      <c r="N181" s="142"/>
      <c r="O181" s="143"/>
      <c r="P181" s="143"/>
      <c r="Q181" s="7"/>
    </row>
    <row r="182" spans="2:17" ht="18" customHeight="1">
      <c r="B182" s="135"/>
      <c r="C182" s="150" t="s">
        <v>87</v>
      </c>
      <c r="D182" s="49">
        <f>Invoerenduet!$E$26</f>
        <v>0</v>
      </c>
      <c r="E182" s="151"/>
      <c r="F182" s="142"/>
      <c r="G182" s="135"/>
      <c r="H182" s="135"/>
      <c r="I182" s="147"/>
      <c r="J182" s="106"/>
      <c r="K182" s="152"/>
      <c r="L182" s="142"/>
      <c r="M182" s="148" t="s">
        <v>88</v>
      </c>
      <c r="N182" s="142">
        <f>Invoerenduet!$C$2</f>
        <v>50</v>
      </c>
      <c r="O182" s="153" t="s">
        <v>81</v>
      </c>
      <c r="P182" s="154"/>
      <c r="Q182" s="7">
        <f>Invoerenduet!$V$26</f>
      </c>
    </row>
    <row r="183" spans="2:17" ht="18" customHeight="1">
      <c r="B183" s="135"/>
      <c r="C183" s="150" t="s">
        <v>89</v>
      </c>
      <c r="D183" s="49">
        <f>Invoerenduet!$F$26</f>
        <v>0</v>
      </c>
      <c r="E183" s="151"/>
      <c r="F183" s="142"/>
      <c r="G183" s="135"/>
      <c r="H183" s="135"/>
      <c r="I183" s="155"/>
      <c r="J183" s="106"/>
      <c r="K183" s="152"/>
      <c r="L183" s="142"/>
      <c r="M183" s="156" t="s">
        <v>17</v>
      </c>
      <c r="N183" s="142"/>
      <c r="O183" s="142"/>
      <c r="P183" s="143">
        <f>P177+P178</f>
        <v>0</v>
      </c>
      <c r="Q183" s="157"/>
    </row>
    <row r="184" spans="2:17" ht="18" customHeight="1">
      <c r="B184" s="11"/>
      <c r="C184" s="158"/>
      <c r="D184" s="151"/>
      <c r="E184" s="158"/>
      <c r="F184" s="11"/>
      <c r="G184" s="11"/>
      <c r="H184" s="11"/>
      <c r="I184" s="11"/>
      <c r="J184" s="11"/>
      <c r="K184" s="11"/>
      <c r="L184" s="11"/>
      <c r="M184" s="159"/>
      <c r="N184" s="160"/>
      <c r="O184" s="158"/>
      <c r="P184" s="158"/>
      <c r="Q184" s="11"/>
    </row>
    <row r="185" spans="2:17" ht="18" customHeight="1">
      <c r="B185" s="155">
        <f>Invoerenduet!$A$27</f>
        <v>23</v>
      </c>
      <c r="C185" s="161">
        <f>Invoerenduet!$D$27</f>
        <v>0</v>
      </c>
      <c r="D185" s="125">
        <f>Invoerenduet!$Q$27</f>
        <v>0</v>
      </c>
      <c r="E185" s="126">
        <v>0.3</v>
      </c>
      <c r="F185" s="162"/>
      <c r="G185" s="162"/>
      <c r="H185" s="162"/>
      <c r="I185" s="163"/>
      <c r="J185" s="163"/>
      <c r="K185" s="136"/>
      <c r="L185" s="130" t="s">
        <v>79</v>
      </c>
      <c r="M185" s="164" t="s">
        <v>80</v>
      </c>
      <c r="N185" s="165">
        <f>Invoerenduet!$C$1</f>
        <v>50</v>
      </c>
      <c r="O185" s="166" t="s">
        <v>81</v>
      </c>
      <c r="P185" s="167">
        <f>ROUND(Invoerenduet!$BX$27*Invoerenduet!$C$1/100,4)</f>
        <v>0</v>
      </c>
      <c r="Q185" s="49">
        <f>Invoerenduet!$CB$27</f>
      </c>
    </row>
    <row r="186" spans="2:17" ht="18" customHeight="1">
      <c r="B186" s="135">
        <f>Invoerenduet!$I$27</f>
        <v>0</v>
      </c>
      <c r="C186" s="135">
        <f>Invoerenduet!$G$27</f>
        <v>0</v>
      </c>
      <c r="D186" s="135">
        <f>Invoerenduet!$H$27</f>
        <v>0</v>
      </c>
      <c r="E186" s="126">
        <v>0.4</v>
      </c>
      <c r="F186" s="127"/>
      <c r="G186" s="127"/>
      <c r="H186" s="127"/>
      <c r="I186" s="128"/>
      <c r="J186" s="128"/>
      <c r="K186" s="136"/>
      <c r="L186" s="137" t="s">
        <v>82</v>
      </c>
      <c r="M186" s="138" t="s">
        <v>83</v>
      </c>
      <c r="N186" s="139">
        <f>Invoerenduet!$C$3</f>
        <v>0</v>
      </c>
      <c r="O186" s="140" t="s">
        <v>81</v>
      </c>
      <c r="P186" s="141">
        <f>ROUND(Invoerenduet!$S$27*Invoerenduet!$C$3/100,4)</f>
        <v>0</v>
      </c>
      <c r="Q186" s="7">
        <f>Invoerenduet!$T$27</f>
      </c>
    </row>
    <row r="187" spans="2:17" ht="18" customHeight="1">
      <c r="B187" s="135">
        <f>Invoerenduet!$L$27</f>
        <v>0</v>
      </c>
      <c r="C187" s="135">
        <f>Invoerenduet!$J$27</f>
        <v>0</v>
      </c>
      <c r="D187" s="135">
        <f>Invoerenduet!$K$27</f>
        <v>0</v>
      </c>
      <c r="E187" s="126">
        <v>0.3</v>
      </c>
      <c r="F187" s="127"/>
      <c r="G187" s="127"/>
      <c r="H187" s="127"/>
      <c r="I187" s="128"/>
      <c r="J187" s="128"/>
      <c r="K187" s="136"/>
      <c r="L187" s="137" t="s">
        <v>84</v>
      </c>
      <c r="M187" s="142"/>
      <c r="N187" s="142"/>
      <c r="O187" s="143"/>
      <c r="P187" s="143"/>
      <c r="Q187" s="7"/>
    </row>
    <row r="188" spans="2:17" ht="18" customHeight="1">
      <c r="B188" s="135">
        <f>Invoerenduet!$O$27</f>
        <v>0</v>
      </c>
      <c r="C188" s="135">
        <f>Invoerenduet!$M$27</f>
        <v>0</v>
      </c>
      <c r="D188" s="135">
        <f>Invoerenduet!$N$27</f>
        <v>0</v>
      </c>
      <c r="E188" s="142"/>
      <c r="F188" s="142"/>
      <c r="G188" s="144"/>
      <c r="H188" s="144"/>
      <c r="I188" s="145"/>
      <c r="J188" s="145"/>
      <c r="K188" s="146">
        <f>SUM(K185:K187)</f>
        <v>0</v>
      </c>
      <c r="L188" s="142"/>
      <c r="M188" s="142"/>
      <c r="N188" s="142"/>
      <c r="O188" s="143"/>
      <c r="P188" s="143"/>
      <c r="Q188" s="7"/>
    </row>
    <row r="189" spans="2:17" ht="18" customHeight="1">
      <c r="B189" s="135"/>
      <c r="C189" s="135"/>
      <c r="D189" s="135"/>
      <c r="E189" s="142"/>
      <c r="F189" s="142"/>
      <c r="G189" s="135"/>
      <c r="H189" s="135"/>
      <c r="I189" s="147"/>
      <c r="J189" s="148" t="s">
        <v>85</v>
      </c>
      <c r="K189" s="149"/>
      <c r="L189" s="137" t="s">
        <v>86</v>
      </c>
      <c r="M189" s="142"/>
      <c r="N189" s="142"/>
      <c r="O189" s="143"/>
      <c r="P189" s="143"/>
      <c r="Q189" s="7"/>
    </row>
    <row r="190" spans="2:17" ht="18" customHeight="1">
      <c r="B190" s="135"/>
      <c r="C190" s="150" t="s">
        <v>87</v>
      </c>
      <c r="D190" s="49">
        <f>Invoerenduet!$E$27</f>
        <v>0</v>
      </c>
      <c r="E190" s="151"/>
      <c r="F190" s="142"/>
      <c r="G190" s="135"/>
      <c r="H190" s="135"/>
      <c r="I190" s="147"/>
      <c r="J190" s="106"/>
      <c r="K190" s="152"/>
      <c r="L190" s="142"/>
      <c r="M190" s="148" t="s">
        <v>88</v>
      </c>
      <c r="N190" s="142">
        <f>Invoerenduet!$C$2</f>
        <v>50</v>
      </c>
      <c r="O190" s="153" t="s">
        <v>81</v>
      </c>
      <c r="P190" s="154"/>
      <c r="Q190" s="7">
        <f>Invoerenduet!$V$27</f>
      </c>
    </row>
    <row r="191" spans="2:17" ht="18" customHeight="1">
      <c r="B191" s="135"/>
      <c r="C191" s="150" t="s">
        <v>89</v>
      </c>
      <c r="D191" s="49">
        <f>Invoerenduet!$F$27</f>
        <v>0</v>
      </c>
      <c r="E191" s="151"/>
      <c r="F191" s="142"/>
      <c r="G191" s="135"/>
      <c r="H191" s="135"/>
      <c r="I191" s="155"/>
      <c r="J191" s="106"/>
      <c r="K191" s="152"/>
      <c r="L191" s="142"/>
      <c r="M191" s="156" t="s">
        <v>17</v>
      </c>
      <c r="N191" s="142"/>
      <c r="O191" s="142"/>
      <c r="P191" s="143">
        <f>P185+P186</f>
        <v>0</v>
      </c>
      <c r="Q191" s="157"/>
    </row>
    <row r="192" spans="2:17" ht="18" customHeight="1">
      <c r="B192" s="11"/>
      <c r="C192" s="158"/>
      <c r="D192" s="151"/>
      <c r="E192" s="158"/>
      <c r="F192" s="11"/>
      <c r="G192" s="11"/>
      <c r="H192" s="11"/>
      <c r="I192" s="11"/>
      <c r="J192" s="11"/>
      <c r="K192" s="11"/>
      <c r="L192" s="11"/>
      <c r="M192" s="159"/>
      <c r="N192" s="160"/>
      <c r="O192" s="158"/>
      <c r="P192" s="158"/>
      <c r="Q192" s="11"/>
    </row>
    <row r="193" spans="2:17" ht="18" customHeight="1">
      <c r="B193" s="155">
        <f>Invoerenduet!$A$28</f>
        <v>24</v>
      </c>
      <c r="C193" s="161">
        <f>Invoerenduet!$D$28</f>
        <v>0</v>
      </c>
      <c r="D193" s="125">
        <f>Invoerenduet!$Q$28</f>
        <v>0</v>
      </c>
      <c r="E193" s="126">
        <v>0.3</v>
      </c>
      <c r="F193" s="162"/>
      <c r="G193" s="162"/>
      <c r="H193" s="162"/>
      <c r="I193" s="163"/>
      <c r="J193" s="163"/>
      <c r="K193" s="136"/>
      <c r="L193" s="130" t="s">
        <v>79</v>
      </c>
      <c r="M193" s="164" t="s">
        <v>80</v>
      </c>
      <c r="N193" s="165">
        <f>Invoerenduet!$C$1</f>
        <v>50</v>
      </c>
      <c r="O193" s="166" t="s">
        <v>81</v>
      </c>
      <c r="P193" s="167">
        <f>ROUND(Invoerenduet!$BX$28*Invoerenduet!$C$1/100,4)</f>
        <v>0</v>
      </c>
      <c r="Q193" s="49">
        <f>Invoerenduet!$CB$28</f>
      </c>
    </row>
    <row r="194" spans="2:17" ht="18" customHeight="1">
      <c r="B194" s="135">
        <f>Invoerenduet!$I$28</f>
        <v>0</v>
      </c>
      <c r="C194" s="135">
        <f>Invoerenduet!$G$28</f>
        <v>0</v>
      </c>
      <c r="D194" s="135">
        <f>Invoerenduet!$H$28</f>
        <v>0</v>
      </c>
      <c r="E194" s="126">
        <v>0.4</v>
      </c>
      <c r="F194" s="127"/>
      <c r="G194" s="127"/>
      <c r="H194" s="127"/>
      <c r="I194" s="128"/>
      <c r="J194" s="128"/>
      <c r="K194" s="136"/>
      <c r="L194" s="137" t="s">
        <v>82</v>
      </c>
      <c r="M194" s="138" t="s">
        <v>83</v>
      </c>
      <c r="N194" s="139">
        <f>Invoerenduet!$C$3</f>
        <v>0</v>
      </c>
      <c r="O194" s="140" t="s">
        <v>81</v>
      </c>
      <c r="P194" s="141">
        <f>ROUND(Invoerenduet!$S$28*Invoerenduet!$C$3/100,4)</f>
        <v>0</v>
      </c>
      <c r="Q194" s="7">
        <f>Invoerenduet!$T$28</f>
      </c>
    </row>
    <row r="195" spans="2:17" ht="18" customHeight="1">
      <c r="B195" s="135">
        <f>Invoerenduet!$L$28</f>
        <v>0</v>
      </c>
      <c r="C195" s="135">
        <f>Invoerenduet!$J$28</f>
        <v>0</v>
      </c>
      <c r="D195" s="135">
        <f>Invoerenduet!$K$28</f>
        <v>0</v>
      </c>
      <c r="E195" s="126">
        <v>0.3</v>
      </c>
      <c r="F195" s="127"/>
      <c r="G195" s="127"/>
      <c r="H195" s="127"/>
      <c r="I195" s="128"/>
      <c r="J195" s="128"/>
      <c r="K195" s="136"/>
      <c r="L195" s="137" t="s">
        <v>84</v>
      </c>
      <c r="M195" s="142"/>
      <c r="N195" s="142"/>
      <c r="O195" s="143"/>
      <c r="P195" s="143"/>
      <c r="Q195" s="7"/>
    </row>
    <row r="196" spans="2:17" ht="18" customHeight="1">
      <c r="B196" s="135">
        <f>Invoerenduet!$O$28</f>
        <v>0</v>
      </c>
      <c r="C196" s="135">
        <f>Invoerenduet!$M$28</f>
        <v>0</v>
      </c>
      <c r="D196" s="135">
        <f>Invoerenduet!$N$28</f>
        <v>0</v>
      </c>
      <c r="E196" s="142"/>
      <c r="F196" s="142"/>
      <c r="G196" s="144"/>
      <c r="H196" s="144"/>
      <c r="I196" s="145"/>
      <c r="J196" s="145"/>
      <c r="K196" s="146">
        <f>SUM(K193:K195)</f>
        <v>0</v>
      </c>
      <c r="L196" s="142"/>
      <c r="M196" s="142"/>
      <c r="N196" s="142"/>
      <c r="O196" s="143"/>
      <c r="P196" s="143"/>
      <c r="Q196" s="7"/>
    </row>
    <row r="197" spans="2:17" ht="18" customHeight="1">
      <c r="B197" s="135"/>
      <c r="C197" s="135"/>
      <c r="D197" s="135"/>
      <c r="E197" s="142"/>
      <c r="F197" s="142"/>
      <c r="G197" s="135"/>
      <c r="H197" s="135"/>
      <c r="I197" s="147"/>
      <c r="J197" s="148" t="s">
        <v>85</v>
      </c>
      <c r="K197" s="149"/>
      <c r="L197" s="137" t="s">
        <v>86</v>
      </c>
      <c r="M197" s="142"/>
      <c r="N197" s="142"/>
      <c r="O197" s="143"/>
      <c r="P197" s="143"/>
      <c r="Q197" s="7"/>
    </row>
    <row r="198" spans="2:17" ht="18" customHeight="1">
      <c r="B198" s="135"/>
      <c r="C198" s="150" t="s">
        <v>87</v>
      </c>
      <c r="D198" s="49">
        <f>Invoerenduet!$E$28</f>
        <v>0</v>
      </c>
      <c r="E198" s="151"/>
      <c r="F198" s="142"/>
      <c r="G198" s="135"/>
      <c r="H198" s="135"/>
      <c r="I198" s="147"/>
      <c r="J198" s="106"/>
      <c r="K198" s="152"/>
      <c r="L198" s="142"/>
      <c r="M198" s="148" t="s">
        <v>88</v>
      </c>
      <c r="N198" s="142">
        <f>Invoerenduet!$C$2</f>
        <v>50</v>
      </c>
      <c r="O198" s="153" t="s">
        <v>81</v>
      </c>
      <c r="P198" s="154"/>
      <c r="Q198" s="7">
        <f>Invoerenduet!$V$28</f>
      </c>
    </row>
    <row r="199" spans="2:17" ht="18" customHeight="1">
      <c r="B199" s="135"/>
      <c r="C199" s="150" t="s">
        <v>89</v>
      </c>
      <c r="D199" s="49">
        <f>Invoerenduet!$F$28</f>
        <v>0</v>
      </c>
      <c r="E199" s="151"/>
      <c r="F199" s="142"/>
      <c r="G199" s="135"/>
      <c r="H199" s="135"/>
      <c r="I199" s="155"/>
      <c r="J199" s="106"/>
      <c r="K199" s="152"/>
      <c r="L199" s="142"/>
      <c r="M199" s="156" t="s">
        <v>17</v>
      </c>
      <c r="N199" s="142"/>
      <c r="O199" s="142"/>
      <c r="P199" s="143">
        <f>P193+P194</f>
        <v>0</v>
      </c>
      <c r="Q199" s="157"/>
    </row>
    <row r="200" spans="2:17" ht="18" customHeight="1">
      <c r="B200" s="11"/>
      <c r="C200" s="158"/>
      <c r="D200" s="151"/>
      <c r="E200" s="158"/>
      <c r="F200" s="11"/>
      <c r="G200" s="11"/>
      <c r="H200" s="11"/>
      <c r="I200" s="11"/>
      <c r="J200" s="11"/>
      <c r="K200" s="11"/>
      <c r="L200" s="11"/>
      <c r="M200" s="159"/>
      <c r="N200" s="160"/>
      <c r="O200" s="158"/>
      <c r="P200" s="158"/>
      <c r="Q200" s="11"/>
    </row>
    <row r="201" spans="2:17" ht="18" customHeight="1">
      <c r="B201" s="155">
        <f>Invoerenduet!$A$29</f>
        <v>25</v>
      </c>
      <c r="C201" s="161">
        <f>Invoerenduet!$D$29</f>
        <v>0</v>
      </c>
      <c r="D201" s="125">
        <f>Invoerenduet!$Q$29</f>
        <v>0</v>
      </c>
      <c r="E201" s="126">
        <v>0.3</v>
      </c>
      <c r="F201" s="162"/>
      <c r="G201" s="162"/>
      <c r="H201" s="162"/>
      <c r="I201" s="163"/>
      <c r="J201" s="163"/>
      <c r="K201" s="136"/>
      <c r="L201" s="130" t="s">
        <v>79</v>
      </c>
      <c r="M201" s="164" t="s">
        <v>80</v>
      </c>
      <c r="N201" s="165">
        <f>Invoerenduet!$C$1</f>
        <v>50</v>
      </c>
      <c r="O201" s="166" t="s">
        <v>81</v>
      </c>
      <c r="P201" s="167">
        <f>ROUND(Invoerenduet!$BX$29*Invoerenduet!$C$1/100,4)</f>
        <v>0</v>
      </c>
      <c r="Q201" s="49">
        <f>Invoerenduet!$CB$29</f>
      </c>
    </row>
    <row r="202" spans="2:17" ht="18" customHeight="1">
      <c r="B202" s="135">
        <f>Invoerenduet!$I$29</f>
        <v>0</v>
      </c>
      <c r="C202" s="135">
        <f>Invoerenduet!$G$29</f>
        <v>0</v>
      </c>
      <c r="D202" s="135">
        <f>Invoerenduet!$H$29</f>
        <v>0</v>
      </c>
      <c r="E202" s="126">
        <v>0.4</v>
      </c>
      <c r="F202" s="127"/>
      <c r="G202" s="127"/>
      <c r="H202" s="127"/>
      <c r="I202" s="128"/>
      <c r="J202" s="128"/>
      <c r="K202" s="136"/>
      <c r="L202" s="137" t="s">
        <v>82</v>
      </c>
      <c r="M202" s="138" t="s">
        <v>83</v>
      </c>
      <c r="N202" s="139">
        <f>Invoerenduet!$C$3</f>
        <v>0</v>
      </c>
      <c r="O202" s="140" t="s">
        <v>81</v>
      </c>
      <c r="P202" s="141">
        <f>ROUND(Invoerenduet!$S$29*Invoerenduet!$C$3/100,4)</f>
        <v>0</v>
      </c>
      <c r="Q202" s="7">
        <f>Invoerenduet!$T$29</f>
      </c>
    </row>
    <row r="203" spans="2:17" ht="18" customHeight="1">
      <c r="B203" s="135">
        <f>Invoerenduet!$L$29</f>
        <v>0</v>
      </c>
      <c r="C203" s="135">
        <f>Invoerenduet!$J$29</f>
        <v>0</v>
      </c>
      <c r="D203" s="135">
        <f>Invoerenduet!$K$29</f>
        <v>0</v>
      </c>
      <c r="E203" s="126">
        <v>0.3</v>
      </c>
      <c r="F203" s="127"/>
      <c r="G203" s="127"/>
      <c r="H203" s="127"/>
      <c r="I203" s="128"/>
      <c r="J203" s="128"/>
      <c r="K203" s="136"/>
      <c r="L203" s="137" t="s">
        <v>84</v>
      </c>
      <c r="M203" s="142"/>
      <c r="N203" s="142"/>
      <c r="O203" s="143"/>
      <c r="P203" s="143"/>
      <c r="Q203" s="7"/>
    </row>
    <row r="204" spans="2:17" ht="18" customHeight="1">
      <c r="B204" s="135">
        <f>Invoerenduet!$O$29</f>
        <v>0</v>
      </c>
      <c r="C204" s="135">
        <f>Invoerenduet!$M$29</f>
        <v>0</v>
      </c>
      <c r="D204" s="135">
        <f>Invoerenduet!$N$29</f>
        <v>0</v>
      </c>
      <c r="E204" s="142"/>
      <c r="F204" s="142"/>
      <c r="G204" s="144"/>
      <c r="H204" s="144"/>
      <c r="I204" s="145"/>
      <c r="J204" s="145"/>
      <c r="K204" s="146">
        <f>SUM(K201:K203)</f>
        <v>0</v>
      </c>
      <c r="L204" s="142"/>
      <c r="M204" s="142"/>
      <c r="N204" s="142"/>
      <c r="O204" s="143"/>
      <c r="P204" s="143"/>
      <c r="Q204" s="7"/>
    </row>
    <row r="205" spans="2:17" ht="18" customHeight="1">
      <c r="B205" s="135"/>
      <c r="C205" s="135"/>
      <c r="D205" s="135"/>
      <c r="E205" s="142"/>
      <c r="F205" s="142"/>
      <c r="G205" s="135"/>
      <c r="H205" s="135"/>
      <c r="I205" s="147"/>
      <c r="J205" s="148" t="s">
        <v>85</v>
      </c>
      <c r="K205" s="149"/>
      <c r="L205" s="137" t="s">
        <v>86</v>
      </c>
      <c r="M205" s="142"/>
      <c r="N205" s="142"/>
      <c r="O205" s="143"/>
      <c r="P205" s="143"/>
      <c r="Q205" s="7"/>
    </row>
    <row r="206" spans="2:17" ht="18" customHeight="1">
      <c r="B206" s="135"/>
      <c r="C206" s="150" t="s">
        <v>87</v>
      </c>
      <c r="D206" s="49">
        <f>Invoerenduet!$E$29</f>
        <v>0</v>
      </c>
      <c r="E206" s="151"/>
      <c r="F206" s="142"/>
      <c r="G206" s="135"/>
      <c r="H206" s="135"/>
      <c r="I206" s="147"/>
      <c r="J206" s="106"/>
      <c r="K206" s="152"/>
      <c r="L206" s="142"/>
      <c r="M206" s="148" t="s">
        <v>88</v>
      </c>
      <c r="N206" s="142">
        <f>Invoerenduet!$C$2</f>
        <v>50</v>
      </c>
      <c r="O206" s="153" t="s">
        <v>81</v>
      </c>
      <c r="P206" s="154"/>
      <c r="Q206" s="7">
        <f>Invoerenduet!$V$29</f>
      </c>
    </row>
    <row r="207" spans="2:17" ht="18" customHeight="1">
      <c r="B207" s="135"/>
      <c r="C207" s="150" t="s">
        <v>89</v>
      </c>
      <c r="D207" s="49">
        <f>Invoerenduet!$F$29</f>
        <v>0</v>
      </c>
      <c r="E207" s="151"/>
      <c r="F207" s="142"/>
      <c r="G207" s="135"/>
      <c r="H207" s="135"/>
      <c r="I207" s="155"/>
      <c r="J207" s="106"/>
      <c r="K207" s="152"/>
      <c r="L207" s="142"/>
      <c r="M207" s="156" t="s">
        <v>17</v>
      </c>
      <c r="N207" s="142"/>
      <c r="O207" s="142"/>
      <c r="P207" s="143">
        <f>P201+P202</f>
        <v>0</v>
      </c>
      <c r="Q207" s="157"/>
    </row>
    <row r="208" spans="2:17" ht="18" customHeight="1">
      <c r="B208" s="11"/>
      <c r="C208" s="158"/>
      <c r="D208" s="151"/>
      <c r="E208" s="158"/>
      <c r="F208" s="11"/>
      <c r="G208" s="11"/>
      <c r="H208" s="11"/>
      <c r="I208" s="11"/>
      <c r="J208" s="11"/>
      <c r="K208" s="11"/>
      <c r="L208" s="11"/>
      <c r="M208" s="159"/>
      <c r="N208" s="160"/>
      <c r="O208" s="158"/>
      <c r="P208" s="158"/>
      <c r="Q208" s="11"/>
    </row>
    <row r="209" spans="2:17" ht="18" customHeight="1">
      <c r="B209" s="155">
        <f>Invoerenduet!$A$30</f>
        <v>26</v>
      </c>
      <c r="C209" s="161">
        <f>Invoerenduet!$D$30</f>
        <v>0</v>
      </c>
      <c r="D209" s="125">
        <f>Invoerenduet!$Q$30</f>
        <v>0</v>
      </c>
      <c r="E209" s="126">
        <v>0.3</v>
      </c>
      <c r="F209" s="162"/>
      <c r="G209" s="162"/>
      <c r="H209" s="162"/>
      <c r="I209" s="163"/>
      <c r="J209" s="163"/>
      <c r="K209" s="136"/>
      <c r="L209" s="130" t="s">
        <v>79</v>
      </c>
      <c r="M209" s="164" t="s">
        <v>80</v>
      </c>
      <c r="N209" s="165">
        <f>Invoerenduet!$C$1</f>
        <v>50</v>
      </c>
      <c r="O209" s="166" t="s">
        <v>81</v>
      </c>
      <c r="P209" s="167">
        <f>ROUND(Invoerenduet!$BX$30*Invoerenduet!$C$1/100,4)</f>
        <v>0</v>
      </c>
      <c r="Q209" s="49">
        <f>Invoerenduet!$CB$30</f>
      </c>
    </row>
    <row r="210" spans="2:17" ht="18" customHeight="1">
      <c r="B210" s="135">
        <f>Invoerenduet!$I$30</f>
        <v>0</v>
      </c>
      <c r="C210" s="135">
        <f>Invoerenduet!$G$30</f>
        <v>0</v>
      </c>
      <c r="D210" s="135">
        <f>Invoerenduet!$H$30</f>
        <v>0</v>
      </c>
      <c r="E210" s="126">
        <v>0.4</v>
      </c>
      <c r="F210" s="127"/>
      <c r="G210" s="127"/>
      <c r="H210" s="127"/>
      <c r="I210" s="128"/>
      <c r="J210" s="128"/>
      <c r="K210" s="136"/>
      <c r="L210" s="137" t="s">
        <v>82</v>
      </c>
      <c r="M210" s="138" t="s">
        <v>83</v>
      </c>
      <c r="N210" s="139">
        <f>Invoerenduet!$C$3</f>
        <v>0</v>
      </c>
      <c r="O210" s="140" t="s">
        <v>81</v>
      </c>
      <c r="P210" s="141">
        <f>ROUND(Invoerenduet!$S$30*Invoerenduet!$C$3/100,4)</f>
        <v>0</v>
      </c>
      <c r="Q210" s="7">
        <f>Invoerenduet!$T$30</f>
      </c>
    </row>
    <row r="211" spans="2:17" ht="18" customHeight="1">
      <c r="B211" s="135">
        <f>Invoerenduet!$L$30</f>
        <v>0</v>
      </c>
      <c r="C211" s="135">
        <f>Invoerenduet!$J$30</f>
        <v>0</v>
      </c>
      <c r="D211" s="135">
        <f>Invoerenduet!$K$30</f>
        <v>0</v>
      </c>
      <c r="E211" s="126">
        <v>0.3</v>
      </c>
      <c r="F211" s="127"/>
      <c r="G211" s="127"/>
      <c r="H211" s="127"/>
      <c r="I211" s="128"/>
      <c r="J211" s="128"/>
      <c r="K211" s="136"/>
      <c r="L211" s="137" t="s">
        <v>84</v>
      </c>
      <c r="M211" s="142"/>
      <c r="N211" s="142"/>
      <c r="O211" s="143"/>
      <c r="P211" s="143"/>
      <c r="Q211" s="7"/>
    </row>
    <row r="212" spans="2:17" ht="18" customHeight="1">
      <c r="B212" s="135">
        <f>Invoerenduet!$O$30</f>
        <v>0</v>
      </c>
      <c r="C212" s="135">
        <f>Invoerenduet!$M$30</f>
        <v>0</v>
      </c>
      <c r="D212" s="135">
        <f>Invoerenduet!$N$30</f>
        <v>0</v>
      </c>
      <c r="E212" s="142"/>
      <c r="F212" s="142"/>
      <c r="G212" s="144"/>
      <c r="H212" s="144"/>
      <c r="I212" s="145"/>
      <c r="J212" s="145"/>
      <c r="K212" s="146">
        <f>SUM(K209:K211)</f>
        <v>0</v>
      </c>
      <c r="L212" s="142"/>
      <c r="M212" s="142"/>
      <c r="N212" s="142"/>
      <c r="O212" s="143"/>
      <c r="P212" s="143"/>
      <c r="Q212" s="7"/>
    </row>
    <row r="213" spans="2:17" ht="18" customHeight="1">
      <c r="B213" s="135"/>
      <c r="C213" s="135"/>
      <c r="D213" s="135"/>
      <c r="E213" s="142"/>
      <c r="F213" s="142"/>
      <c r="G213" s="135"/>
      <c r="H213" s="135"/>
      <c r="I213" s="147"/>
      <c r="J213" s="148" t="s">
        <v>85</v>
      </c>
      <c r="K213" s="149"/>
      <c r="L213" s="137" t="s">
        <v>86</v>
      </c>
      <c r="M213" s="142"/>
      <c r="N213" s="142"/>
      <c r="O213" s="143"/>
      <c r="P213" s="143"/>
      <c r="Q213" s="7"/>
    </row>
    <row r="214" spans="2:17" ht="18" customHeight="1">
      <c r="B214" s="135"/>
      <c r="C214" s="150" t="s">
        <v>87</v>
      </c>
      <c r="D214" s="49">
        <f>Invoerenduet!$E$30</f>
        <v>0</v>
      </c>
      <c r="E214" s="151"/>
      <c r="F214" s="142"/>
      <c r="G214" s="135"/>
      <c r="H214" s="135"/>
      <c r="I214" s="147"/>
      <c r="J214" s="106"/>
      <c r="K214" s="152"/>
      <c r="L214" s="142"/>
      <c r="M214" s="148" t="s">
        <v>88</v>
      </c>
      <c r="N214" s="142">
        <f>Invoerenduet!$C$2</f>
        <v>50</v>
      </c>
      <c r="O214" s="153" t="s">
        <v>81</v>
      </c>
      <c r="P214" s="154"/>
      <c r="Q214" s="7">
        <f>Invoerenduet!$V$30</f>
      </c>
    </row>
    <row r="215" spans="2:17" ht="18" customHeight="1">
      <c r="B215" s="135"/>
      <c r="C215" s="150" t="s">
        <v>89</v>
      </c>
      <c r="D215" s="49">
        <f>Invoerenduet!$F$30</f>
        <v>0</v>
      </c>
      <c r="E215" s="151"/>
      <c r="F215" s="142"/>
      <c r="G215" s="135"/>
      <c r="H215" s="135"/>
      <c r="I215" s="155"/>
      <c r="J215" s="106"/>
      <c r="K215" s="152"/>
      <c r="L215" s="142"/>
      <c r="M215" s="156" t="s">
        <v>17</v>
      </c>
      <c r="N215" s="142"/>
      <c r="O215" s="142"/>
      <c r="P215" s="143">
        <f>P209+P210</f>
        <v>0</v>
      </c>
      <c r="Q215" s="157"/>
    </row>
    <row r="216" spans="2:17" ht="18" customHeight="1">
      <c r="B216" s="11"/>
      <c r="C216" s="158"/>
      <c r="D216" s="151"/>
      <c r="E216" s="158"/>
      <c r="F216" s="11"/>
      <c r="G216" s="11"/>
      <c r="H216" s="11"/>
      <c r="I216" s="11"/>
      <c r="J216" s="11"/>
      <c r="K216" s="11"/>
      <c r="L216" s="11"/>
      <c r="M216" s="159"/>
      <c r="N216" s="160"/>
      <c r="O216" s="158"/>
      <c r="P216" s="158"/>
      <c r="Q216" s="11"/>
    </row>
    <row r="217" spans="2:17" ht="18" customHeight="1">
      <c r="B217" s="155">
        <f>Invoerenduet!$A$31</f>
        <v>27</v>
      </c>
      <c r="C217" s="161">
        <f>Invoerenduet!$D$31</f>
        <v>0</v>
      </c>
      <c r="D217" s="125">
        <f>Invoerenduet!$Q$31</f>
        <v>0</v>
      </c>
      <c r="E217" s="126">
        <v>0.3</v>
      </c>
      <c r="F217" s="162"/>
      <c r="G217" s="162"/>
      <c r="H217" s="162"/>
      <c r="I217" s="163"/>
      <c r="J217" s="163"/>
      <c r="K217" s="136"/>
      <c r="L217" s="130" t="s">
        <v>79</v>
      </c>
      <c r="M217" s="164" t="s">
        <v>80</v>
      </c>
      <c r="N217" s="165">
        <f>Invoerenduet!$C$1</f>
        <v>50</v>
      </c>
      <c r="O217" s="166" t="s">
        <v>81</v>
      </c>
      <c r="P217" s="167">
        <f>ROUND(Invoerenduet!$BX$31*Invoerenduet!$C$1/100,4)</f>
        <v>0</v>
      </c>
      <c r="Q217" s="49">
        <f>Invoerenduet!$CB$31</f>
      </c>
    </row>
    <row r="218" spans="2:17" ht="18" customHeight="1">
      <c r="B218" s="135">
        <f>Invoerenduet!$I$31</f>
        <v>0</v>
      </c>
      <c r="C218" s="135">
        <f>Invoerenduet!$G$31</f>
        <v>0</v>
      </c>
      <c r="D218" s="135">
        <f>Invoerenduet!$H$31</f>
        <v>0</v>
      </c>
      <c r="E218" s="126">
        <v>0.4</v>
      </c>
      <c r="F218" s="127"/>
      <c r="G218" s="127"/>
      <c r="H218" s="127"/>
      <c r="I218" s="128"/>
      <c r="J218" s="128"/>
      <c r="K218" s="136"/>
      <c r="L218" s="137" t="s">
        <v>82</v>
      </c>
      <c r="M218" s="138" t="s">
        <v>83</v>
      </c>
      <c r="N218" s="139">
        <f>Invoerenduet!$C$3</f>
        <v>0</v>
      </c>
      <c r="O218" s="140" t="s">
        <v>81</v>
      </c>
      <c r="P218" s="141">
        <f>ROUND(Invoerenduet!$S$31*Invoerenduet!$C$3/100,4)</f>
        <v>0</v>
      </c>
      <c r="Q218" s="7">
        <f>Invoerenduet!$T$31</f>
      </c>
    </row>
    <row r="219" spans="2:17" ht="18" customHeight="1">
      <c r="B219" s="135">
        <f>Invoerenduet!$L$31</f>
        <v>0</v>
      </c>
      <c r="C219" s="135">
        <f>Invoerenduet!$J$31</f>
        <v>0</v>
      </c>
      <c r="D219" s="135">
        <f>Invoerenduet!$K$31</f>
        <v>0</v>
      </c>
      <c r="E219" s="126">
        <v>0.3</v>
      </c>
      <c r="F219" s="127"/>
      <c r="G219" s="127"/>
      <c r="H219" s="127"/>
      <c r="I219" s="128"/>
      <c r="J219" s="128"/>
      <c r="K219" s="136"/>
      <c r="L219" s="137" t="s">
        <v>84</v>
      </c>
      <c r="M219" s="142"/>
      <c r="N219" s="142"/>
      <c r="O219" s="143"/>
      <c r="P219" s="143"/>
      <c r="Q219" s="7"/>
    </row>
    <row r="220" spans="2:17" ht="18" customHeight="1">
      <c r="B220" s="135">
        <f>Invoerenduet!$O$31</f>
        <v>0</v>
      </c>
      <c r="C220" s="135">
        <f>Invoerenduet!$M$31</f>
        <v>0</v>
      </c>
      <c r="D220" s="135">
        <f>Invoerenduet!$N$31</f>
        <v>0</v>
      </c>
      <c r="E220" s="142"/>
      <c r="F220" s="142"/>
      <c r="G220" s="144"/>
      <c r="H220" s="144"/>
      <c r="I220" s="145"/>
      <c r="J220" s="145"/>
      <c r="K220" s="146">
        <f>SUM(K217:K219)</f>
        <v>0</v>
      </c>
      <c r="L220" s="142"/>
      <c r="M220" s="142"/>
      <c r="N220" s="142"/>
      <c r="O220" s="143"/>
      <c r="P220" s="143"/>
      <c r="Q220" s="7"/>
    </row>
    <row r="221" spans="2:17" ht="18" customHeight="1">
      <c r="B221" s="135"/>
      <c r="C221" s="135"/>
      <c r="D221" s="135"/>
      <c r="E221" s="142"/>
      <c r="F221" s="142"/>
      <c r="G221" s="135"/>
      <c r="H221" s="135"/>
      <c r="I221" s="147"/>
      <c r="J221" s="148" t="s">
        <v>85</v>
      </c>
      <c r="K221" s="149"/>
      <c r="L221" s="137" t="s">
        <v>86</v>
      </c>
      <c r="M221" s="142"/>
      <c r="N221" s="142"/>
      <c r="O221" s="143"/>
      <c r="P221" s="143"/>
      <c r="Q221" s="7"/>
    </row>
    <row r="222" spans="2:17" ht="18" customHeight="1">
      <c r="B222" s="135"/>
      <c r="C222" s="150" t="s">
        <v>87</v>
      </c>
      <c r="D222" s="49">
        <f>Invoerenduet!$E$31</f>
        <v>0</v>
      </c>
      <c r="E222" s="151"/>
      <c r="F222" s="142"/>
      <c r="G222" s="135"/>
      <c r="H222" s="135"/>
      <c r="I222" s="147"/>
      <c r="J222" s="106"/>
      <c r="K222" s="152"/>
      <c r="L222" s="142"/>
      <c r="M222" s="148" t="s">
        <v>88</v>
      </c>
      <c r="N222" s="142">
        <f>Invoerenduet!$C$2</f>
        <v>50</v>
      </c>
      <c r="O222" s="153" t="s">
        <v>81</v>
      </c>
      <c r="P222" s="154"/>
      <c r="Q222" s="7">
        <f>Invoerenduet!$V$31</f>
      </c>
    </row>
    <row r="223" spans="2:17" ht="18" customHeight="1">
      <c r="B223" s="135"/>
      <c r="C223" s="150" t="s">
        <v>89</v>
      </c>
      <c r="D223" s="49">
        <f>Invoerenduet!$F$31</f>
        <v>0</v>
      </c>
      <c r="E223" s="151"/>
      <c r="F223" s="142"/>
      <c r="G223" s="135"/>
      <c r="H223" s="135"/>
      <c r="I223" s="155"/>
      <c r="J223" s="106"/>
      <c r="K223" s="152"/>
      <c r="L223" s="142"/>
      <c r="M223" s="156" t="s">
        <v>17</v>
      </c>
      <c r="N223" s="142"/>
      <c r="O223" s="142"/>
      <c r="P223" s="143">
        <f>P217+P218</f>
        <v>0</v>
      </c>
      <c r="Q223" s="157"/>
    </row>
    <row r="224" spans="2:17" ht="18" customHeight="1">
      <c r="B224" s="11"/>
      <c r="C224" s="158"/>
      <c r="D224" s="151"/>
      <c r="E224" s="158"/>
      <c r="F224" s="11"/>
      <c r="G224" s="11"/>
      <c r="H224" s="11"/>
      <c r="I224" s="11"/>
      <c r="J224" s="11"/>
      <c r="K224" s="11"/>
      <c r="L224" s="11"/>
      <c r="M224" s="159"/>
      <c r="N224" s="160"/>
      <c r="O224" s="158"/>
      <c r="P224" s="158"/>
      <c r="Q224" s="11"/>
    </row>
    <row r="225" spans="2:17" ht="18" customHeight="1">
      <c r="B225" s="155">
        <f>Invoerenduet!$A$32</f>
        <v>28</v>
      </c>
      <c r="C225" s="161">
        <f>Invoerenduet!$D$32</f>
        <v>0</v>
      </c>
      <c r="D225" s="125">
        <f>Invoerenduet!$Q$32</f>
        <v>0</v>
      </c>
      <c r="E225" s="126">
        <v>0.3</v>
      </c>
      <c r="F225" s="162"/>
      <c r="G225" s="162"/>
      <c r="H225" s="162"/>
      <c r="I225" s="163"/>
      <c r="J225" s="163"/>
      <c r="K225" s="136"/>
      <c r="L225" s="130" t="s">
        <v>79</v>
      </c>
      <c r="M225" s="164" t="s">
        <v>80</v>
      </c>
      <c r="N225" s="165">
        <f>Invoerenduet!$C$1</f>
        <v>50</v>
      </c>
      <c r="O225" s="166" t="s">
        <v>81</v>
      </c>
      <c r="P225" s="167">
        <f>ROUND(Invoerenduet!$BX$32*Invoerenduet!$C$1/100,4)</f>
        <v>0</v>
      </c>
      <c r="Q225" s="49">
        <f>Invoerenduet!$CB$32</f>
      </c>
    </row>
    <row r="226" spans="2:17" ht="18" customHeight="1">
      <c r="B226" s="135">
        <f>Invoerenduet!$I$32</f>
        <v>0</v>
      </c>
      <c r="C226" s="135">
        <f>Invoerenduet!$G$32</f>
        <v>0</v>
      </c>
      <c r="D226" s="135">
        <f>Invoerenduet!$H$32</f>
        <v>0</v>
      </c>
      <c r="E226" s="126">
        <v>0.4</v>
      </c>
      <c r="F226" s="127"/>
      <c r="G226" s="127"/>
      <c r="H226" s="127"/>
      <c r="I226" s="128"/>
      <c r="J226" s="128"/>
      <c r="K226" s="136"/>
      <c r="L226" s="137" t="s">
        <v>82</v>
      </c>
      <c r="M226" s="138" t="s">
        <v>83</v>
      </c>
      <c r="N226" s="139">
        <f>Invoerenduet!$C$3</f>
        <v>0</v>
      </c>
      <c r="O226" s="140" t="s">
        <v>81</v>
      </c>
      <c r="P226" s="141">
        <f>ROUND(Invoerenduet!$S$32*Invoerenduet!$C$3/100,4)</f>
        <v>0</v>
      </c>
      <c r="Q226" s="7">
        <f>Invoerenduet!$T$32</f>
      </c>
    </row>
    <row r="227" spans="2:17" ht="18" customHeight="1">
      <c r="B227" s="135">
        <f>Invoerenduet!$L$32</f>
        <v>0</v>
      </c>
      <c r="C227" s="135">
        <f>Invoerenduet!$J$32</f>
        <v>0</v>
      </c>
      <c r="D227" s="135">
        <f>Invoerenduet!$K$32</f>
        <v>0</v>
      </c>
      <c r="E227" s="126">
        <v>0.3</v>
      </c>
      <c r="F227" s="127"/>
      <c r="G227" s="127"/>
      <c r="H227" s="127"/>
      <c r="I227" s="128"/>
      <c r="J227" s="128"/>
      <c r="K227" s="136"/>
      <c r="L227" s="137" t="s">
        <v>84</v>
      </c>
      <c r="M227" s="142"/>
      <c r="N227" s="142"/>
      <c r="O227" s="143"/>
      <c r="P227" s="143"/>
      <c r="Q227" s="7"/>
    </row>
    <row r="228" spans="2:17" ht="18" customHeight="1">
      <c r="B228" s="135">
        <f>Invoerenduet!$O$32</f>
        <v>0</v>
      </c>
      <c r="C228" s="135">
        <f>Invoerenduet!$M$32</f>
        <v>0</v>
      </c>
      <c r="D228" s="135">
        <f>Invoerenduet!$N$32</f>
        <v>0</v>
      </c>
      <c r="E228" s="142"/>
      <c r="F228" s="142"/>
      <c r="G228" s="144"/>
      <c r="H228" s="144"/>
      <c r="I228" s="145"/>
      <c r="J228" s="145"/>
      <c r="K228" s="146">
        <f>SUM(K225:K227)</f>
        <v>0</v>
      </c>
      <c r="L228" s="142"/>
      <c r="M228" s="142"/>
      <c r="N228" s="142"/>
      <c r="O228" s="143"/>
      <c r="P228" s="143"/>
      <c r="Q228" s="7"/>
    </row>
    <row r="229" spans="2:17" ht="18" customHeight="1">
      <c r="B229" s="135"/>
      <c r="C229" s="135"/>
      <c r="D229" s="135"/>
      <c r="E229" s="142"/>
      <c r="F229" s="142"/>
      <c r="G229" s="135"/>
      <c r="H229" s="135"/>
      <c r="I229" s="147"/>
      <c r="J229" s="148" t="s">
        <v>85</v>
      </c>
      <c r="K229" s="149"/>
      <c r="L229" s="137" t="s">
        <v>86</v>
      </c>
      <c r="M229" s="142"/>
      <c r="N229" s="142"/>
      <c r="O229" s="143"/>
      <c r="P229" s="143"/>
      <c r="Q229" s="7"/>
    </row>
    <row r="230" spans="2:17" ht="18" customHeight="1">
      <c r="B230" s="135"/>
      <c r="C230" s="150" t="s">
        <v>87</v>
      </c>
      <c r="D230" s="49">
        <f>Invoerenduet!$E$32</f>
        <v>0</v>
      </c>
      <c r="E230" s="151"/>
      <c r="F230" s="142"/>
      <c r="G230" s="135"/>
      <c r="H230" s="135"/>
      <c r="I230" s="147"/>
      <c r="J230" s="106"/>
      <c r="K230" s="152"/>
      <c r="L230" s="142"/>
      <c r="M230" s="148" t="s">
        <v>88</v>
      </c>
      <c r="N230" s="142">
        <f>Invoerenduet!$C$2</f>
        <v>50</v>
      </c>
      <c r="O230" s="153" t="s">
        <v>81</v>
      </c>
      <c r="P230" s="154"/>
      <c r="Q230" s="7">
        <f>Invoerenduet!$V$32</f>
      </c>
    </row>
    <row r="231" spans="2:17" ht="18" customHeight="1">
      <c r="B231" s="135"/>
      <c r="C231" s="150" t="s">
        <v>89</v>
      </c>
      <c r="D231" s="49">
        <f>Invoerenduet!$F$32</f>
        <v>0</v>
      </c>
      <c r="E231" s="151"/>
      <c r="F231" s="142"/>
      <c r="G231" s="135"/>
      <c r="H231" s="135"/>
      <c r="I231" s="155"/>
      <c r="J231" s="106"/>
      <c r="K231" s="152"/>
      <c r="L231" s="142"/>
      <c r="M231" s="156" t="s">
        <v>17</v>
      </c>
      <c r="N231" s="142"/>
      <c r="O231" s="142"/>
      <c r="P231" s="143">
        <f>P225+P226</f>
        <v>0</v>
      </c>
      <c r="Q231" s="157"/>
    </row>
    <row r="232" spans="2:17" ht="18" customHeight="1">
      <c r="B232" s="11"/>
      <c r="C232" s="158"/>
      <c r="D232" s="151"/>
      <c r="E232" s="158"/>
      <c r="F232" s="11"/>
      <c r="G232" s="11"/>
      <c r="H232" s="11"/>
      <c r="I232" s="11"/>
      <c r="J232" s="11"/>
      <c r="K232" s="11"/>
      <c r="L232" s="11"/>
      <c r="M232" s="159"/>
      <c r="N232" s="160"/>
      <c r="O232" s="158"/>
      <c r="P232" s="158"/>
      <c r="Q232" s="11"/>
    </row>
    <row r="233" spans="2:17" ht="18" customHeight="1">
      <c r="B233" s="155">
        <f>Invoerenduet!$A$33</f>
        <v>29</v>
      </c>
      <c r="C233" s="161">
        <f>Invoerenduet!$D$33</f>
        <v>0</v>
      </c>
      <c r="D233" s="125">
        <f>Invoerenduet!$Q$33</f>
        <v>0</v>
      </c>
      <c r="E233" s="126">
        <v>0.3</v>
      </c>
      <c r="F233" s="162"/>
      <c r="G233" s="162"/>
      <c r="H233" s="162"/>
      <c r="I233" s="163"/>
      <c r="J233" s="163"/>
      <c r="K233" s="136"/>
      <c r="L233" s="130" t="s">
        <v>79</v>
      </c>
      <c r="M233" s="164" t="s">
        <v>80</v>
      </c>
      <c r="N233" s="165">
        <f>Invoerenduet!$C$1</f>
        <v>50</v>
      </c>
      <c r="O233" s="166" t="s">
        <v>81</v>
      </c>
      <c r="P233" s="167">
        <f>ROUND(Invoerenduet!$BX$33*Invoerenduet!$C$1/100,4)</f>
        <v>0</v>
      </c>
      <c r="Q233" s="49">
        <f>Invoerenduet!$CB$33</f>
      </c>
    </row>
    <row r="234" spans="2:17" ht="18" customHeight="1">
      <c r="B234" s="135">
        <f>Invoerenduet!$I$33</f>
        <v>0</v>
      </c>
      <c r="C234" s="135">
        <f>Invoerenduet!$G$33</f>
        <v>0</v>
      </c>
      <c r="D234" s="135">
        <f>Invoerenduet!$H$33</f>
        <v>0</v>
      </c>
      <c r="E234" s="126">
        <v>0.4</v>
      </c>
      <c r="F234" s="127"/>
      <c r="G234" s="127"/>
      <c r="H234" s="127"/>
      <c r="I234" s="128"/>
      <c r="J234" s="128"/>
      <c r="K234" s="136"/>
      <c r="L234" s="137" t="s">
        <v>82</v>
      </c>
      <c r="M234" s="138" t="s">
        <v>83</v>
      </c>
      <c r="N234" s="139">
        <f>Invoerenduet!$C$3</f>
        <v>0</v>
      </c>
      <c r="O234" s="140" t="s">
        <v>81</v>
      </c>
      <c r="P234" s="141">
        <f>ROUND(Invoerenduet!$S$33*Invoerenduet!$C$3/100,4)</f>
        <v>0</v>
      </c>
      <c r="Q234" s="7">
        <f>Invoerenduet!$T$33</f>
      </c>
    </row>
    <row r="235" spans="2:17" ht="18" customHeight="1">
      <c r="B235" s="135">
        <f>Invoerenduet!$L$33</f>
        <v>0</v>
      </c>
      <c r="C235" s="135">
        <f>Invoerenduet!$J$33</f>
        <v>0</v>
      </c>
      <c r="D235" s="135">
        <f>Invoerenduet!$K$33</f>
        <v>0</v>
      </c>
      <c r="E235" s="126">
        <v>0.3</v>
      </c>
      <c r="F235" s="127"/>
      <c r="G235" s="127"/>
      <c r="H235" s="127"/>
      <c r="I235" s="128"/>
      <c r="J235" s="128"/>
      <c r="K235" s="136"/>
      <c r="L235" s="137" t="s">
        <v>84</v>
      </c>
      <c r="M235" s="142"/>
      <c r="N235" s="142"/>
      <c r="O235" s="143"/>
      <c r="P235" s="143"/>
      <c r="Q235" s="7"/>
    </row>
    <row r="236" spans="2:17" ht="18" customHeight="1">
      <c r="B236" s="135">
        <f>Invoerenduet!$O$33</f>
        <v>0</v>
      </c>
      <c r="C236" s="135">
        <f>Invoerenduet!$M$33</f>
        <v>0</v>
      </c>
      <c r="D236" s="135">
        <f>Invoerenduet!$N$33</f>
        <v>0</v>
      </c>
      <c r="E236" s="142"/>
      <c r="F236" s="142"/>
      <c r="G236" s="144"/>
      <c r="H236" s="144"/>
      <c r="I236" s="145"/>
      <c r="J236" s="145"/>
      <c r="K236" s="146">
        <f>SUM(K233:K235)</f>
        <v>0</v>
      </c>
      <c r="L236" s="142"/>
      <c r="M236" s="142"/>
      <c r="N236" s="142"/>
      <c r="O236" s="143"/>
      <c r="P236" s="143"/>
      <c r="Q236" s="7"/>
    </row>
    <row r="237" spans="2:17" ht="18" customHeight="1">
      <c r="B237" s="135"/>
      <c r="C237" s="135"/>
      <c r="D237" s="135"/>
      <c r="E237" s="142"/>
      <c r="F237" s="142"/>
      <c r="G237" s="135"/>
      <c r="H237" s="135"/>
      <c r="I237" s="147"/>
      <c r="J237" s="148" t="s">
        <v>85</v>
      </c>
      <c r="K237" s="149"/>
      <c r="L237" s="137" t="s">
        <v>86</v>
      </c>
      <c r="M237" s="142"/>
      <c r="N237" s="142"/>
      <c r="O237" s="143"/>
      <c r="P237" s="143"/>
      <c r="Q237" s="7"/>
    </row>
    <row r="238" spans="2:17" ht="18" customHeight="1">
      <c r="B238" s="135"/>
      <c r="C238" s="150" t="s">
        <v>87</v>
      </c>
      <c r="D238" s="49">
        <f>Invoerenduet!$E$33</f>
        <v>0</v>
      </c>
      <c r="E238" s="151"/>
      <c r="F238" s="142"/>
      <c r="G238" s="135"/>
      <c r="H238" s="135"/>
      <c r="I238" s="147"/>
      <c r="J238" s="106"/>
      <c r="K238" s="152"/>
      <c r="L238" s="142"/>
      <c r="M238" s="148" t="s">
        <v>88</v>
      </c>
      <c r="N238" s="142">
        <f>Invoerenduet!$C$2</f>
        <v>50</v>
      </c>
      <c r="O238" s="153" t="s">
        <v>81</v>
      </c>
      <c r="P238" s="154"/>
      <c r="Q238" s="7">
        <f>Invoerenduet!$V$33</f>
      </c>
    </row>
    <row r="239" spans="2:17" ht="18" customHeight="1">
      <c r="B239" s="135"/>
      <c r="C239" s="150" t="s">
        <v>89</v>
      </c>
      <c r="D239" s="49">
        <f>Invoerenduet!$F$33</f>
        <v>0</v>
      </c>
      <c r="E239" s="151"/>
      <c r="F239" s="142"/>
      <c r="G239" s="135"/>
      <c r="H239" s="135"/>
      <c r="I239" s="155"/>
      <c r="J239" s="106"/>
      <c r="K239" s="152"/>
      <c r="L239" s="142"/>
      <c r="M239" s="156" t="s">
        <v>17</v>
      </c>
      <c r="N239" s="142"/>
      <c r="O239" s="142"/>
      <c r="P239" s="143">
        <f>P233+P234</f>
        <v>0</v>
      </c>
      <c r="Q239" s="157"/>
    </row>
    <row r="240" spans="2:17" ht="18" customHeight="1">
      <c r="B240" s="11"/>
      <c r="C240" s="158"/>
      <c r="D240" s="151"/>
      <c r="E240" s="158"/>
      <c r="F240" s="11"/>
      <c r="G240" s="11"/>
      <c r="H240" s="11"/>
      <c r="I240" s="11"/>
      <c r="J240" s="11"/>
      <c r="K240" s="11"/>
      <c r="L240" s="11"/>
      <c r="M240" s="159"/>
      <c r="N240" s="160"/>
      <c r="O240" s="158"/>
      <c r="P240" s="158"/>
      <c r="Q240" s="11"/>
    </row>
    <row r="241" spans="2:17" ht="18" customHeight="1">
      <c r="B241" s="155">
        <f>Invoerenduet!$A$34</f>
        <v>30</v>
      </c>
      <c r="C241" s="161">
        <f>Invoerenduet!$D$34</f>
        <v>0</v>
      </c>
      <c r="D241" s="125">
        <f>Invoerenduet!$Q$34</f>
        <v>0</v>
      </c>
      <c r="E241" s="126">
        <v>0.3</v>
      </c>
      <c r="F241" s="162"/>
      <c r="G241" s="162"/>
      <c r="H241" s="162"/>
      <c r="I241" s="163"/>
      <c r="J241" s="163"/>
      <c r="K241" s="136"/>
      <c r="L241" s="130" t="s">
        <v>79</v>
      </c>
      <c r="M241" s="164" t="s">
        <v>80</v>
      </c>
      <c r="N241" s="165">
        <f>Invoerenduet!$C$1</f>
        <v>50</v>
      </c>
      <c r="O241" s="166" t="s">
        <v>81</v>
      </c>
      <c r="P241" s="167">
        <f>ROUND(Invoerenduet!$BX$34*Invoerenduet!$C$1/100,4)</f>
        <v>0</v>
      </c>
      <c r="Q241" s="49">
        <f>Invoerenduet!$CB$34</f>
      </c>
    </row>
    <row r="242" spans="2:17" ht="18" customHeight="1">
      <c r="B242" s="135">
        <f>Invoerenduet!$I$34</f>
        <v>0</v>
      </c>
      <c r="C242" s="135">
        <f>Invoerenduet!$G$34</f>
        <v>0</v>
      </c>
      <c r="D242" s="135">
        <f>Invoerenduet!$H$34</f>
        <v>0</v>
      </c>
      <c r="E242" s="126">
        <v>0.4</v>
      </c>
      <c r="F242" s="127"/>
      <c r="G242" s="127"/>
      <c r="H242" s="127"/>
      <c r="I242" s="128"/>
      <c r="J242" s="128"/>
      <c r="K242" s="136"/>
      <c r="L242" s="137" t="s">
        <v>82</v>
      </c>
      <c r="M242" s="138" t="s">
        <v>83</v>
      </c>
      <c r="N242" s="139">
        <f>Invoerenduet!$C$3</f>
        <v>0</v>
      </c>
      <c r="O242" s="140" t="s">
        <v>81</v>
      </c>
      <c r="P242" s="141">
        <f>ROUND(Invoerenduet!$S$34*Invoerenduet!$C$3/100,4)</f>
        <v>0</v>
      </c>
      <c r="Q242" s="7">
        <f>Invoerenduet!$T$34</f>
      </c>
    </row>
    <row r="243" spans="2:17" ht="18" customHeight="1">
      <c r="B243" s="135">
        <f>Invoerenduet!$L$34</f>
        <v>0</v>
      </c>
      <c r="C243" s="135">
        <f>Invoerenduet!$J$34</f>
        <v>0</v>
      </c>
      <c r="D243" s="135">
        <f>Invoerenduet!$K$34</f>
        <v>0</v>
      </c>
      <c r="E243" s="126">
        <v>0.3</v>
      </c>
      <c r="F243" s="127"/>
      <c r="G243" s="127"/>
      <c r="H243" s="127"/>
      <c r="I243" s="128"/>
      <c r="J243" s="128"/>
      <c r="K243" s="136"/>
      <c r="L243" s="137" t="s">
        <v>84</v>
      </c>
      <c r="M243" s="142"/>
      <c r="N243" s="142"/>
      <c r="O243" s="143"/>
      <c r="P243" s="143"/>
      <c r="Q243" s="7"/>
    </row>
    <row r="244" spans="2:17" ht="18" customHeight="1">
      <c r="B244" s="135">
        <f>Invoerenduet!$O$34</f>
        <v>0</v>
      </c>
      <c r="C244" s="135">
        <f>Invoerenduet!$M$34</f>
        <v>0</v>
      </c>
      <c r="D244" s="135">
        <f>Invoerenduet!$N$34</f>
        <v>0</v>
      </c>
      <c r="E244" s="142"/>
      <c r="F244" s="142"/>
      <c r="G244" s="144"/>
      <c r="H244" s="144"/>
      <c r="I244" s="145"/>
      <c r="J244" s="145"/>
      <c r="K244" s="146">
        <f>SUM(K241:K243)</f>
        <v>0</v>
      </c>
      <c r="L244" s="142"/>
      <c r="M244" s="142"/>
      <c r="N244" s="142"/>
      <c r="O244" s="143"/>
      <c r="P244" s="143"/>
      <c r="Q244" s="7"/>
    </row>
    <row r="245" spans="2:17" ht="18" customHeight="1">
      <c r="B245" s="135"/>
      <c r="C245" s="135"/>
      <c r="D245" s="135"/>
      <c r="E245" s="142"/>
      <c r="F245" s="142"/>
      <c r="G245" s="135"/>
      <c r="H245" s="135"/>
      <c r="I245" s="147"/>
      <c r="J245" s="148" t="s">
        <v>85</v>
      </c>
      <c r="K245" s="149"/>
      <c r="L245" s="137" t="s">
        <v>86</v>
      </c>
      <c r="M245" s="142"/>
      <c r="N245" s="142"/>
      <c r="O245" s="143"/>
      <c r="P245" s="143"/>
      <c r="Q245" s="7"/>
    </row>
    <row r="246" spans="2:17" ht="18" customHeight="1">
      <c r="B246" s="135"/>
      <c r="C246" s="150" t="s">
        <v>87</v>
      </c>
      <c r="D246" s="49">
        <f>Invoerenduet!$E$34</f>
        <v>0</v>
      </c>
      <c r="E246" s="151"/>
      <c r="F246" s="142"/>
      <c r="G246" s="135"/>
      <c r="H246" s="135"/>
      <c r="I246" s="147"/>
      <c r="J246" s="106"/>
      <c r="K246" s="152"/>
      <c r="L246" s="142"/>
      <c r="M246" s="148" t="s">
        <v>88</v>
      </c>
      <c r="N246" s="142">
        <f>Invoerenduet!$C$2</f>
        <v>50</v>
      </c>
      <c r="O246" s="153" t="s">
        <v>81</v>
      </c>
      <c r="P246" s="154"/>
      <c r="Q246" s="7">
        <f>Invoerenduet!$V$34</f>
      </c>
    </row>
    <row r="247" spans="2:17" ht="18" customHeight="1">
      <c r="B247" s="135"/>
      <c r="C247" s="150" t="s">
        <v>89</v>
      </c>
      <c r="D247" s="49">
        <f>Invoerenduet!$F$34</f>
        <v>0</v>
      </c>
      <c r="E247" s="151"/>
      <c r="F247" s="142"/>
      <c r="G247" s="135"/>
      <c r="H247" s="135"/>
      <c r="I247" s="155"/>
      <c r="J247" s="106"/>
      <c r="K247" s="152"/>
      <c r="L247" s="142"/>
      <c r="M247" s="156" t="s">
        <v>17</v>
      </c>
      <c r="N247" s="142"/>
      <c r="O247" s="142"/>
      <c r="P247" s="143">
        <f>P241+P242</f>
        <v>0</v>
      </c>
      <c r="Q247" s="157"/>
    </row>
  </sheetData>
  <sheetProtection selectLockedCells="1" selectUnlockedCells="1"/>
  <mergeCells count="2">
    <mergeCell ref="N1:P1"/>
    <mergeCell ref="N2:P2"/>
  </mergeCells>
  <printOptions/>
  <pageMargins left="0.19652777777777777" right="0.19652777777777777" top="0.5902777777777778" bottom="0.5118055555555555" header="0.5118055555555555" footer="0.5118055555555555"/>
  <pageSetup horizontalDpi="300" verticalDpi="300" orientation="portrait" paperSize="9" scale="67" r:id="rId1"/>
  <rowBreaks count="4" manualBreakCount="4">
    <brk id="64" max="255" man="1"/>
    <brk id="120" max="255" man="1"/>
    <brk id="176" max="255" man="1"/>
    <brk id="2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P247"/>
  <sheetViews>
    <sheetView showZeros="0" view="pageBreakPreview" zoomScaleSheetLayoutView="100" zoomScalePageLayoutView="0" workbookViewId="0" topLeftCell="A1">
      <selection activeCell="O6" sqref="O6"/>
    </sheetView>
  </sheetViews>
  <sheetFormatPr defaultColWidth="9.00390625" defaultRowHeight="12.75"/>
  <cols>
    <col min="1" max="1" width="5.75390625" style="142" customWidth="1"/>
    <col min="2" max="2" width="26.25390625" style="142" customWidth="1"/>
    <col min="3" max="3" width="11.125" style="142" customWidth="1"/>
    <col min="4" max="4" width="5.125" style="142" customWidth="1"/>
    <col min="5" max="9" width="5.375" style="142" customWidth="1"/>
    <col min="10" max="10" width="8.75390625" style="143" customWidth="1"/>
    <col min="11" max="11" width="4.125" style="142" customWidth="1"/>
    <col min="12" max="12" width="3.875" style="142" customWidth="1"/>
    <col min="13" max="13" width="4.625" style="142" customWidth="1"/>
    <col min="14" max="14" width="2.75390625" style="143" customWidth="1"/>
    <col min="15" max="15" width="8.625" style="142" customWidth="1"/>
    <col min="16" max="16" width="4.25390625" style="7" customWidth="1"/>
    <col min="17" max="16384" width="9.125" style="142" customWidth="1"/>
  </cols>
  <sheetData>
    <row r="1" spans="1:15" ht="12.75" customHeight="1">
      <c r="A1" s="422" t="str">
        <f>'Startlijst solo'!$B$1</f>
        <v>LSZK-A</v>
      </c>
      <c r="B1" s="422"/>
      <c r="C1" s="422"/>
      <c r="D1" s="422"/>
      <c r="E1" s="422"/>
      <c r="F1" s="422"/>
      <c r="G1" s="422"/>
      <c r="H1" s="96"/>
      <c r="J1" s="369" t="s">
        <v>66</v>
      </c>
      <c r="K1" s="369"/>
      <c r="L1" s="370">
        <f>'Startlijst solo'!N1</f>
        <v>41805</v>
      </c>
      <c r="M1" s="370"/>
      <c r="N1" s="370"/>
      <c r="O1" s="114"/>
    </row>
    <row r="2" spans="1:14" ht="12.75" customHeight="1">
      <c r="A2" s="103" t="str">
        <f>'Startlijst solo'!$B$2</f>
        <v>Organisatie:  SPIO Venray</v>
      </c>
      <c r="B2" s="96"/>
      <c r="C2" s="103" t="str">
        <f>'Startlijst solo'!D2</f>
        <v>Zwembad: De Sprank te Venray</v>
      </c>
      <c r="D2" s="96"/>
      <c r="E2" s="96"/>
      <c r="F2" s="96"/>
      <c r="G2" s="96"/>
      <c r="H2" s="96"/>
      <c r="J2" s="369" t="s">
        <v>69</v>
      </c>
      <c r="K2" s="369"/>
      <c r="L2" s="371" t="str">
        <f>'Startlijst solo'!N2</f>
        <v>13.30 uur</v>
      </c>
      <c r="M2" s="371"/>
      <c r="N2" s="371"/>
    </row>
    <row r="3" spans="1:9" ht="12.75" customHeight="1">
      <c r="A3" s="168" t="s">
        <v>106</v>
      </c>
      <c r="B3" s="168" t="str">
        <f>'Startlijst solo'!C3</f>
        <v>Age I</v>
      </c>
      <c r="C3" s="169"/>
      <c r="D3" s="169"/>
      <c r="E3" s="169"/>
      <c r="F3" s="169"/>
      <c r="G3" s="169"/>
      <c r="H3" s="169"/>
      <c r="I3" s="169"/>
    </row>
    <row r="4" spans="1:16" ht="5.25" customHeight="1">
      <c r="A4" s="109"/>
      <c r="B4" s="109"/>
      <c r="C4" s="170"/>
      <c r="D4" s="109"/>
      <c r="E4" s="109"/>
      <c r="F4" s="109"/>
      <c r="G4" s="109"/>
      <c r="H4" s="109"/>
      <c r="I4" s="109"/>
      <c r="J4" s="171"/>
      <c r="K4" s="109"/>
      <c r="L4" s="109"/>
      <c r="M4" s="109"/>
      <c r="N4" s="171"/>
      <c r="O4" s="109"/>
      <c r="P4" s="172"/>
    </row>
    <row r="5" spans="1:15" ht="12.75">
      <c r="A5" s="114"/>
      <c r="B5" s="253" t="s">
        <v>169</v>
      </c>
      <c r="C5" s="174"/>
      <c r="D5" s="114"/>
      <c r="E5" s="114"/>
      <c r="F5" s="114"/>
      <c r="G5" s="114"/>
      <c r="H5" s="114"/>
      <c r="I5" s="114"/>
      <c r="J5" s="175"/>
      <c r="K5" s="114"/>
      <c r="L5" s="114"/>
      <c r="M5" s="114"/>
      <c r="N5" s="175"/>
      <c r="O5" s="114"/>
    </row>
    <row r="6" spans="1:15" ht="4.5" customHeight="1">
      <c r="A6" s="114"/>
      <c r="B6" s="114"/>
      <c r="C6" s="174"/>
      <c r="D6" s="114"/>
      <c r="E6" s="114"/>
      <c r="F6" s="114"/>
      <c r="G6" s="114"/>
      <c r="H6" s="114"/>
      <c r="I6" s="114"/>
      <c r="J6" s="175"/>
      <c r="K6" s="114"/>
      <c r="L6" s="114"/>
      <c r="M6" s="114"/>
      <c r="N6" s="175"/>
      <c r="O6" s="114"/>
    </row>
    <row r="7" spans="1:16" ht="12.75">
      <c r="A7" s="142" t="s">
        <v>91</v>
      </c>
      <c r="B7" s="176" t="s">
        <v>18</v>
      </c>
      <c r="C7" s="177" t="s">
        <v>75</v>
      </c>
      <c r="D7" s="114"/>
      <c r="E7" s="114"/>
      <c r="F7" s="114"/>
      <c r="G7" s="114"/>
      <c r="H7" s="114"/>
      <c r="I7" s="114"/>
      <c r="J7" s="178"/>
      <c r="K7" s="114"/>
      <c r="L7" s="114"/>
      <c r="M7" s="114"/>
      <c r="N7" s="175"/>
      <c r="O7" s="114"/>
      <c r="P7" s="179" t="s">
        <v>92</v>
      </c>
    </row>
    <row r="8" spans="1:16" ht="12.75">
      <c r="A8" s="142" t="s">
        <v>93</v>
      </c>
      <c r="B8" s="176" t="s">
        <v>77</v>
      </c>
      <c r="C8" s="180" t="s">
        <v>78</v>
      </c>
      <c r="D8" s="119"/>
      <c r="E8" s="181">
        <v>1</v>
      </c>
      <c r="F8" s="181">
        <v>2</v>
      </c>
      <c r="G8" s="181">
        <v>3</v>
      </c>
      <c r="H8" s="181">
        <v>4</v>
      </c>
      <c r="I8" s="181">
        <v>5</v>
      </c>
      <c r="J8" s="154"/>
      <c r="L8" s="119"/>
      <c r="M8" s="119"/>
      <c r="N8" s="154"/>
      <c r="O8" s="119"/>
      <c r="P8" s="182" t="s">
        <v>94</v>
      </c>
    </row>
    <row r="9" spans="1:16" ht="18.75" customHeight="1">
      <c r="A9" s="123">
        <f>Invoerenduet!$B$5</f>
        <v>2</v>
      </c>
      <c r="B9" s="124" t="str">
        <f>Invoerenduet!$D$5</f>
        <v>SPIO Venray</v>
      </c>
      <c r="C9" s="125" t="str">
        <f>Invoerenduet!$Q$5</f>
        <v>Limburg</v>
      </c>
      <c r="D9" s="126">
        <v>0.3</v>
      </c>
      <c r="E9" s="183">
        <f>Invoerenduet!$AB$5</f>
        <v>4.7</v>
      </c>
      <c r="F9" s="183">
        <f>Invoerenduet!$AC$5</f>
        <v>4.6</v>
      </c>
      <c r="G9" s="183">
        <f>Invoerenduet!$AD$5</f>
        <v>4.1</v>
      </c>
      <c r="H9" s="184">
        <f>Invoerenduet!$AE$5</f>
        <v>4.4</v>
      </c>
      <c r="I9" s="184">
        <f>Invoerenduet!$AF$5</f>
        <v>4.6</v>
      </c>
      <c r="J9" s="129">
        <f>Invoerenduet!$AH$5</f>
        <v>13.6</v>
      </c>
      <c r="K9" s="185" t="s">
        <v>79</v>
      </c>
      <c r="L9" s="186" t="s">
        <v>80</v>
      </c>
      <c r="M9" s="187">
        <f>Invoerenduet!$C$1</f>
        <v>50</v>
      </c>
      <c r="N9" s="188" t="s">
        <v>81</v>
      </c>
      <c r="O9" s="134">
        <f>ROUND(Invoerenduet!$BX$5*Invoerenduet!$C$1/100,4)</f>
        <v>22.47</v>
      </c>
      <c r="P9" s="49">
        <f>Invoerenduet!$BY$5</f>
        <v>1</v>
      </c>
    </row>
    <row r="10" spans="1:16" ht="18.75" customHeight="1">
      <c r="A10" s="135" t="str">
        <f>Invoerenduet!$I$5</f>
        <v>x</v>
      </c>
      <c r="B10" s="135" t="str">
        <f>Invoerenduet!$G$5</f>
        <v>Neri Euwes</v>
      </c>
      <c r="C10" s="135">
        <f>Invoerenduet!$H$5</f>
        <v>200200074</v>
      </c>
      <c r="D10" s="126">
        <v>0.4</v>
      </c>
      <c r="E10" s="127">
        <f>Invoerenduet!$AO$5</f>
        <v>4.6</v>
      </c>
      <c r="F10" s="127">
        <f>Invoerenduet!$AP$5</f>
        <v>4.9</v>
      </c>
      <c r="G10" s="127">
        <f>Invoerenduet!$AQ$5</f>
        <v>4.7</v>
      </c>
      <c r="H10" s="128">
        <f>Invoerenduet!$AR$5</f>
        <v>4.2</v>
      </c>
      <c r="I10" s="128">
        <f>Invoerenduet!$AS$5</f>
        <v>4.4</v>
      </c>
      <c r="J10" s="136">
        <f>Invoerenduet!$AU$5</f>
        <v>18.2667</v>
      </c>
      <c r="K10" s="137" t="s">
        <v>82</v>
      </c>
      <c r="L10" s="138" t="s">
        <v>83</v>
      </c>
      <c r="M10" s="139">
        <f>Invoerenduet!$C$3</f>
        <v>0</v>
      </c>
      <c r="N10" s="140" t="s">
        <v>81</v>
      </c>
      <c r="O10" s="141">
        <f>ROUND(Invoerenduet!$S$5*Invoerenduet!$C$3/100,4)</f>
        <v>0</v>
      </c>
      <c r="P10" s="7">
        <f>Invoerenduet!$T$5</f>
      </c>
    </row>
    <row r="11" spans="1:11" ht="18.75" customHeight="1">
      <c r="A11" s="135" t="str">
        <f>Invoerenduet!$L$5</f>
        <v>x</v>
      </c>
      <c r="B11" s="135" t="str">
        <f>Invoerenduet!$J$5</f>
        <v>Elke Francken</v>
      </c>
      <c r="C11" s="135">
        <f>Invoerenduet!$K$5</f>
        <v>200201968</v>
      </c>
      <c r="D11" s="126">
        <v>0.3</v>
      </c>
      <c r="E11" s="127">
        <f>Invoerenduet!$BB$5</f>
        <v>4.8</v>
      </c>
      <c r="F11" s="127">
        <f>Invoerenduet!$BC$5</f>
        <v>4.6</v>
      </c>
      <c r="G11" s="127">
        <f>Invoerenduet!$BD$5</f>
        <v>4.2</v>
      </c>
      <c r="H11" s="128">
        <f>Invoerenduet!$BE$5</f>
        <v>4.6</v>
      </c>
      <c r="I11" s="128">
        <f>Invoerenduet!$BF$5</f>
        <v>4.7</v>
      </c>
      <c r="J11" s="136">
        <f>Invoerenduet!$BH$5</f>
        <v>13.9</v>
      </c>
      <c r="K11" s="137" t="s">
        <v>84</v>
      </c>
    </row>
    <row r="12" spans="1:10" ht="18.75" customHeight="1">
      <c r="A12" s="135" t="str">
        <f>Invoerenduet!$O$5</f>
        <v>Res</v>
      </c>
      <c r="B12" s="135" t="str">
        <f>Invoerenduet!$M$5</f>
        <v>Vera Andriessen</v>
      </c>
      <c r="C12" s="135">
        <f>Invoerenduet!$N$5</f>
        <v>200200444</v>
      </c>
      <c r="F12" s="144"/>
      <c r="G12" s="144"/>
      <c r="H12" s="145"/>
      <c r="I12" s="145"/>
      <c r="J12" s="146">
        <f>SUM(J9:J11)</f>
        <v>45.7667</v>
      </c>
    </row>
    <row r="13" spans="1:11" ht="18.75" customHeight="1">
      <c r="A13" s="135"/>
      <c r="B13" s="135"/>
      <c r="C13" s="135"/>
      <c r="F13" s="135"/>
      <c r="G13" s="135"/>
      <c r="H13" s="147"/>
      <c r="I13" s="148" t="s">
        <v>85</v>
      </c>
      <c r="J13" s="149">
        <f>Invoerenduet!$BK$5</f>
        <v>0</v>
      </c>
      <c r="K13" s="137" t="s">
        <v>86</v>
      </c>
    </row>
    <row r="14" spans="1:16" ht="18.75" customHeight="1">
      <c r="A14" s="135"/>
      <c r="B14" s="135" t="s">
        <v>19</v>
      </c>
      <c r="C14" s="135" t="str">
        <f>Invoerenduet!$E$5</f>
        <v>One Direction</v>
      </c>
      <c r="D14" s="96"/>
      <c r="F14" s="135"/>
      <c r="G14" s="135"/>
      <c r="H14" s="147"/>
      <c r="I14" s="148" t="s">
        <v>5</v>
      </c>
      <c r="J14" s="152">
        <f>Invoerenduet!$BL$5</f>
        <v>45.7667</v>
      </c>
      <c r="L14" s="142" t="s">
        <v>95</v>
      </c>
      <c r="M14" s="142">
        <f>Invoerenduet!$C$2</f>
        <v>50</v>
      </c>
      <c r="N14" s="153" t="s">
        <v>81</v>
      </c>
      <c r="O14" s="154">
        <f>Invoerenduet!$BN$5</f>
        <v>22.8834</v>
      </c>
      <c r="P14" s="7">
        <f>Invoerenduet!$V$5</f>
        <v>3</v>
      </c>
    </row>
    <row r="15" spans="1:16" ht="18.75" customHeight="1">
      <c r="A15" s="135"/>
      <c r="B15" s="135" t="s">
        <v>20</v>
      </c>
      <c r="C15" s="135" t="str">
        <f>Invoerenduet!$F$5</f>
        <v>Spio Synchro</v>
      </c>
      <c r="D15" s="96"/>
      <c r="F15" s="135"/>
      <c r="G15" s="135"/>
      <c r="H15" s="155"/>
      <c r="J15" s="152"/>
      <c r="L15" s="156" t="s">
        <v>17</v>
      </c>
      <c r="N15" s="142"/>
      <c r="O15" s="143">
        <f>Invoerenduet!$C$5</f>
        <v>45.3534</v>
      </c>
      <c r="P15" s="157"/>
    </row>
    <row r="16" spans="1:11" ht="18.75" customHeight="1">
      <c r="A16" s="135"/>
      <c r="B16" s="135"/>
      <c r="C16" s="135"/>
      <c r="F16" s="135"/>
      <c r="G16" s="135"/>
      <c r="H16" s="147"/>
      <c r="I16" s="156"/>
      <c r="J16" s="152"/>
      <c r="K16" s="189"/>
    </row>
    <row r="17" spans="1:16" ht="18.75" customHeight="1">
      <c r="A17" s="155">
        <f>Invoerenduet!$B$6</f>
        <v>1</v>
      </c>
      <c r="B17" s="161" t="str">
        <f>Invoerenduet!$D$6</f>
        <v>Hellas-Glana</v>
      </c>
      <c r="C17" s="125" t="str">
        <f>Invoerenduet!$Q$6</f>
        <v>Limburg</v>
      </c>
      <c r="D17" s="126">
        <v>0.3</v>
      </c>
      <c r="E17" s="162">
        <f>Invoerenduet!$AB$6</f>
        <v>4.5</v>
      </c>
      <c r="F17" s="162">
        <f>Invoerenduet!$AC$6</f>
        <v>4.8</v>
      </c>
      <c r="G17" s="162">
        <f>Invoerenduet!$AD$6</f>
        <v>4.5</v>
      </c>
      <c r="H17" s="163">
        <f>Invoerenduet!$AE$6</f>
        <v>4.2</v>
      </c>
      <c r="I17" s="163">
        <f>Invoerenduet!$AF$6</f>
        <v>4.9</v>
      </c>
      <c r="J17" s="136">
        <f>Invoerenduet!$AH$6</f>
        <v>13.8</v>
      </c>
      <c r="K17" s="130" t="s">
        <v>79</v>
      </c>
      <c r="L17" s="164" t="s">
        <v>80</v>
      </c>
      <c r="M17" s="165">
        <f>Invoerenduet!$C$1</f>
        <v>50</v>
      </c>
      <c r="N17" s="166" t="s">
        <v>81</v>
      </c>
      <c r="O17" s="167">
        <f>ROUND(Invoerenduet!$BX$6*Invoerenduet!$C$1/100,4)</f>
        <v>22.4545</v>
      </c>
      <c r="P17" s="49">
        <f>Invoerenduet!$BY$6</f>
        <v>2</v>
      </c>
    </row>
    <row r="18" spans="1:16" ht="18.75" customHeight="1">
      <c r="A18" s="135" t="str">
        <f>Invoerenduet!$I$6</f>
        <v>x</v>
      </c>
      <c r="B18" s="135" t="str">
        <f>Invoerenduet!$G$6</f>
        <v>Debbie Geilen</v>
      </c>
      <c r="C18" s="135">
        <f>Invoerenduet!$H$6</f>
        <v>200400742</v>
      </c>
      <c r="D18" s="126">
        <v>0.4</v>
      </c>
      <c r="E18" s="127">
        <f>Invoerenduet!$AO$6</f>
        <v>4.4</v>
      </c>
      <c r="F18" s="127">
        <f>Invoerenduet!$AP$6</f>
        <v>5.2</v>
      </c>
      <c r="G18" s="127">
        <f>Invoerenduet!$AQ$6</f>
        <v>4.8</v>
      </c>
      <c r="H18" s="128">
        <f>Invoerenduet!$AR$6</f>
        <v>4.6</v>
      </c>
      <c r="I18" s="128">
        <f>Invoerenduet!$AS$6</f>
        <v>4.5</v>
      </c>
      <c r="J18" s="136">
        <f>Invoerenduet!$AU$6</f>
        <v>18.5333</v>
      </c>
      <c r="K18" s="137" t="s">
        <v>82</v>
      </c>
      <c r="L18" s="138" t="s">
        <v>83</v>
      </c>
      <c r="M18" s="139">
        <f>Invoerenduet!$C$3</f>
        <v>0</v>
      </c>
      <c r="N18" s="140" t="s">
        <v>81</v>
      </c>
      <c r="O18" s="141">
        <f>ROUND(Invoerenduet!$S$6*Invoerenduet!$C$3/100,4)</f>
        <v>0</v>
      </c>
      <c r="P18" s="7">
        <f>Invoerenduet!$T$6</f>
      </c>
    </row>
    <row r="19" spans="1:11" ht="18.75" customHeight="1">
      <c r="A19" s="135" t="str">
        <f>Invoerenduet!$L$6</f>
        <v>x</v>
      </c>
      <c r="B19" s="135" t="str">
        <f>Invoerenduet!$J$6</f>
        <v>Sarah Molensky</v>
      </c>
      <c r="C19" s="135">
        <f>Invoerenduet!$K$6</f>
        <v>200301680</v>
      </c>
      <c r="D19" s="126">
        <v>0.3</v>
      </c>
      <c r="E19" s="127">
        <f>Invoerenduet!$BB$6</f>
        <v>4.6</v>
      </c>
      <c r="F19" s="127">
        <f>Invoerenduet!$BC$6</f>
        <v>4.4</v>
      </c>
      <c r="G19" s="127">
        <f>Invoerenduet!$BD$6</f>
        <v>4.3</v>
      </c>
      <c r="H19" s="128">
        <f>Invoerenduet!$BE$6</f>
        <v>4.8</v>
      </c>
      <c r="I19" s="128">
        <f>Invoerenduet!$BF$6</f>
        <v>4.5</v>
      </c>
      <c r="J19" s="136">
        <f>Invoerenduet!$BH$6</f>
        <v>13.5</v>
      </c>
      <c r="K19" s="137" t="s">
        <v>84</v>
      </c>
    </row>
    <row r="20" spans="1:10" ht="18.75" customHeight="1">
      <c r="A20" s="135">
        <f>Invoerenduet!$O$6</f>
        <v>0</v>
      </c>
      <c r="B20" s="135">
        <f>Invoerenduet!$M$6</f>
        <v>0</v>
      </c>
      <c r="C20" s="135">
        <f>Invoerenduet!$N$6</f>
        <v>0</v>
      </c>
      <c r="F20" s="144"/>
      <c r="G20" s="144"/>
      <c r="H20" s="145"/>
      <c r="I20" s="145"/>
      <c r="J20" s="146">
        <f>SUM(J17:J19)</f>
        <v>45.8333</v>
      </c>
    </row>
    <row r="21" spans="1:11" ht="18.75" customHeight="1">
      <c r="A21" s="135"/>
      <c r="B21" s="135"/>
      <c r="C21" s="135"/>
      <c r="F21" s="135"/>
      <c r="G21" s="135"/>
      <c r="H21" s="147"/>
      <c r="I21" s="148" t="s">
        <v>85</v>
      </c>
      <c r="J21" s="149">
        <f>Invoerenduet!$BK$6</f>
        <v>0</v>
      </c>
      <c r="K21" s="137" t="s">
        <v>86</v>
      </c>
    </row>
    <row r="22" spans="1:16" ht="18.75" customHeight="1">
      <c r="A22" s="135"/>
      <c r="B22" s="135" t="s">
        <v>19</v>
      </c>
      <c r="C22" s="135" t="str">
        <f>Invoerenduet!$E$6</f>
        <v>Caramba</v>
      </c>
      <c r="D22" s="96"/>
      <c r="F22" s="135"/>
      <c r="G22" s="135"/>
      <c r="H22" s="147"/>
      <c r="I22" s="148" t="s">
        <v>5</v>
      </c>
      <c r="J22" s="152">
        <f>Invoerenduet!$BL$6</f>
        <v>45.8333</v>
      </c>
      <c r="L22" s="142" t="s">
        <v>95</v>
      </c>
      <c r="M22" s="142">
        <f>Invoerenduet!$C$2</f>
        <v>50</v>
      </c>
      <c r="N22" s="153" t="s">
        <v>81</v>
      </c>
      <c r="O22" s="154">
        <f>Invoerenduet!$BN$6</f>
        <v>22.9167</v>
      </c>
      <c r="P22" s="7">
        <f>Invoerenduet!$V$6</f>
        <v>2</v>
      </c>
    </row>
    <row r="23" spans="1:16" ht="18.75" customHeight="1">
      <c r="A23" s="135"/>
      <c r="B23" s="135" t="s">
        <v>20</v>
      </c>
      <c r="C23" s="135" t="str">
        <f>Invoerenduet!$F$6</f>
        <v>Synchroteam Hellas Glana</v>
      </c>
      <c r="D23" s="96"/>
      <c r="F23" s="135"/>
      <c r="G23" s="135"/>
      <c r="H23" s="155"/>
      <c r="J23" s="152"/>
      <c r="L23" s="156" t="s">
        <v>17</v>
      </c>
      <c r="N23" s="142"/>
      <c r="O23" s="143">
        <f>Invoerenduet!$C$6</f>
        <v>45.3712</v>
      </c>
      <c r="P23" s="157"/>
    </row>
    <row r="24" spans="1:10" ht="18.75" customHeight="1">
      <c r="A24" s="135"/>
      <c r="B24" s="135"/>
      <c r="C24" s="135"/>
      <c r="F24" s="135"/>
      <c r="G24" s="135"/>
      <c r="H24" s="147"/>
      <c r="I24" s="156"/>
      <c r="J24" s="152"/>
    </row>
    <row r="25" spans="1:16" ht="18.75" customHeight="1">
      <c r="A25" s="155">
        <f>Invoerenduet!$B$7</f>
        <v>3</v>
      </c>
      <c r="B25" s="161" t="str">
        <f>Invoerenduet!$D$7</f>
        <v>ZC Eijsden</v>
      </c>
      <c r="C25" s="125" t="str">
        <f>Invoerenduet!$Q$7</f>
        <v>Limburg</v>
      </c>
      <c r="D25" s="126">
        <v>0.3</v>
      </c>
      <c r="E25" s="162">
        <f>Invoerenduet!$AB$7</f>
        <v>4.4</v>
      </c>
      <c r="F25" s="162">
        <f>Invoerenduet!$AC$7</f>
        <v>4.9</v>
      </c>
      <c r="G25" s="162">
        <f>Invoerenduet!$AD$7</f>
        <v>4.6</v>
      </c>
      <c r="H25" s="163">
        <f>Invoerenduet!$AE$7</f>
        <v>4.6</v>
      </c>
      <c r="I25" s="163">
        <f>Invoerenduet!$AF$7</f>
        <v>4.7</v>
      </c>
      <c r="J25" s="136">
        <f>Invoerenduet!$AH$7</f>
        <v>13.9</v>
      </c>
      <c r="K25" s="130" t="s">
        <v>79</v>
      </c>
      <c r="L25" s="164" t="s">
        <v>80</v>
      </c>
      <c r="M25" s="165">
        <f>Invoerenduet!$C$1</f>
        <v>50</v>
      </c>
      <c r="N25" s="166" t="s">
        <v>81</v>
      </c>
      <c r="O25" s="167">
        <f>ROUND(Invoerenduet!$BX$7*Invoerenduet!$C$1/100,4)</f>
        <v>21.4212</v>
      </c>
      <c r="P25" s="49">
        <f>Invoerenduet!$BY$7</f>
        <v>3</v>
      </c>
    </row>
    <row r="26" spans="1:16" ht="18.75" customHeight="1">
      <c r="A26" s="135" t="str">
        <f>Invoerenduet!$I$7</f>
        <v>x</v>
      </c>
      <c r="B26" s="135" t="str">
        <f>Invoerenduet!$G$7</f>
        <v>Myrthe Huysmans</v>
      </c>
      <c r="C26" s="135">
        <f>Invoerenduet!$H$7</f>
        <v>200201940</v>
      </c>
      <c r="D26" s="126">
        <v>0.4</v>
      </c>
      <c r="E26" s="127">
        <f>Invoerenduet!$AO$7</f>
        <v>4.8</v>
      </c>
      <c r="F26" s="127">
        <f>Invoerenduet!$AP$7</f>
        <v>5</v>
      </c>
      <c r="G26" s="127">
        <f>Invoerenduet!$AQ$7</f>
        <v>5</v>
      </c>
      <c r="H26" s="128">
        <f>Invoerenduet!$AR$7</f>
        <v>4.8</v>
      </c>
      <c r="I26" s="128">
        <f>Invoerenduet!$AS$7</f>
        <v>4.6</v>
      </c>
      <c r="J26" s="136">
        <f>Invoerenduet!$AU$7</f>
        <v>19.4667</v>
      </c>
      <c r="K26" s="137" t="s">
        <v>82</v>
      </c>
      <c r="L26" s="138" t="s">
        <v>83</v>
      </c>
      <c r="M26" s="139">
        <f>Invoerenduet!$C$3</f>
        <v>0</v>
      </c>
      <c r="N26" s="140" t="s">
        <v>81</v>
      </c>
      <c r="O26" s="141">
        <f>ROUND(Invoerenduet!$S$7*Invoerenduet!$C$3/100,4)</f>
        <v>0</v>
      </c>
      <c r="P26" s="7">
        <f>Invoerenduet!$T$7</f>
      </c>
    </row>
    <row r="27" spans="1:11" ht="18.75" customHeight="1">
      <c r="A27" s="135" t="str">
        <f>Invoerenduet!$L$7</f>
        <v>x</v>
      </c>
      <c r="B27" s="135" t="str">
        <f>Invoerenduet!$J$7</f>
        <v>Jill Mourmans</v>
      </c>
      <c r="C27" s="135">
        <f>Invoerenduet!$K$7</f>
        <v>200300794</v>
      </c>
      <c r="D27" s="126">
        <v>0.3</v>
      </c>
      <c r="E27" s="127">
        <f>Invoerenduet!$BB$7</f>
        <v>5</v>
      </c>
      <c r="F27" s="127">
        <f>Invoerenduet!$BC$7</f>
        <v>4.6</v>
      </c>
      <c r="G27" s="127">
        <f>Invoerenduet!$BD$7</f>
        <v>4.5</v>
      </c>
      <c r="H27" s="128">
        <f>Invoerenduet!$BE$7</f>
        <v>4.7</v>
      </c>
      <c r="I27" s="128">
        <f>Invoerenduet!$BF$7</f>
        <v>4.8</v>
      </c>
      <c r="J27" s="136">
        <f>Invoerenduet!$BH$7</f>
        <v>14.1</v>
      </c>
      <c r="K27" s="137" t="s">
        <v>84</v>
      </c>
    </row>
    <row r="28" spans="1:10" ht="18.75" customHeight="1">
      <c r="A28" s="135">
        <f>Invoerenduet!$O$7</f>
        <v>0</v>
      </c>
      <c r="B28" s="135">
        <f>Invoerenduet!$M$7</f>
        <v>0</v>
      </c>
      <c r="C28" s="135">
        <f>Invoerenduet!$N$7</f>
        <v>0</v>
      </c>
      <c r="F28" s="144"/>
      <c r="G28" s="144"/>
      <c r="H28" s="145"/>
      <c r="I28" s="145"/>
      <c r="J28" s="146">
        <f>SUM(J25:J27)</f>
        <v>47.4667</v>
      </c>
    </row>
    <row r="29" spans="1:11" ht="18.75" customHeight="1">
      <c r="A29" s="135"/>
      <c r="B29" s="135"/>
      <c r="C29" s="135"/>
      <c r="F29" s="135"/>
      <c r="G29" s="135"/>
      <c r="H29" s="147"/>
      <c r="I29" s="148" t="s">
        <v>85</v>
      </c>
      <c r="J29" s="149">
        <f>Invoerenduet!$BK$7</f>
        <v>0</v>
      </c>
      <c r="K29" s="137" t="s">
        <v>86</v>
      </c>
    </row>
    <row r="30" spans="1:16" ht="18.75" customHeight="1">
      <c r="A30" s="135"/>
      <c r="B30" s="135" t="s">
        <v>19</v>
      </c>
      <c r="C30" s="135" t="str">
        <f>Invoerenduet!$E$7</f>
        <v>Limbo</v>
      </c>
      <c r="D30" s="96"/>
      <c r="F30" s="135"/>
      <c r="G30" s="135"/>
      <c r="H30" s="147"/>
      <c r="I30" s="148" t="s">
        <v>5</v>
      </c>
      <c r="J30" s="152">
        <f>Invoerenduet!$BL$7</f>
        <v>47.4667</v>
      </c>
      <c r="L30" s="142" t="s">
        <v>95</v>
      </c>
      <c r="M30" s="142">
        <f>Invoerenduet!$C$2</f>
        <v>50</v>
      </c>
      <c r="N30" s="153" t="s">
        <v>81</v>
      </c>
      <c r="O30" s="154">
        <f>Invoerenduet!$BN$7</f>
        <v>23.7334</v>
      </c>
      <c r="P30" s="7">
        <f>Invoerenduet!$V$7</f>
        <v>1</v>
      </c>
    </row>
    <row r="31" spans="1:16" ht="18.75" customHeight="1">
      <c r="A31" s="135"/>
      <c r="B31" s="135" t="s">
        <v>20</v>
      </c>
      <c r="C31" s="135" t="str">
        <f>Invoerenduet!$F$7</f>
        <v>Evelien Wolfs</v>
      </c>
      <c r="D31" s="96"/>
      <c r="F31" s="135"/>
      <c r="G31" s="135"/>
      <c r="H31" s="155"/>
      <c r="J31" s="152"/>
      <c r="L31" s="156" t="s">
        <v>17</v>
      </c>
      <c r="N31" s="142"/>
      <c r="O31" s="143">
        <f>Invoerenduet!$C$7</f>
        <v>45.1546</v>
      </c>
      <c r="P31" s="157"/>
    </row>
    <row r="32" spans="1:10" ht="18.75" customHeight="1">
      <c r="A32" s="135"/>
      <c r="B32" s="135"/>
      <c r="C32" s="135"/>
      <c r="F32" s="135"/>
      <c r="G32" s="135"/>
      <c r="H32" s="147"/>
      <c r="I32" s="156"/>
      <c r="J32" s="152"/>
    </row>
    <row r="33" spans="1:16" ht="18.75" customHeight="1">
      <c r="A33" s="155">
        <f>Invoerenduet!$B$8</f>
        <v>4</v>
      </c>
      <c r="B33" s="161">
        <f>Invoerenduet!$D$8</f>
        <v>0</v>
      </c>
      <c r="C33" s="125">
        <f>Invoerenduet!$Q$8</f>
        <v>0</v>
      </c>
      <c r="D33" s="126">
        <v>0.3</v>
      </c>
      <c r="E33" s="162">
        <f>Invoerenduet!$AB$8</f>
        <v>0</v>
      </c>
      <c r="F33" s="162">
        <f>Invoerenduet!$AC$8</f>
        <v>0</v>
      </c>
      <c r="G33" s="162">
        <f>Invoerenduet!$AD$8</f>
        <v>0</v>
      </c>
      <c r="H33" s="163">
        <f>Invoerenduet!$AE$8</f>
        <v>0</v>
      </c>
      <c r="I33" s="163">
        <f>Invoerenduet!$AF$8</f>
        <v>0</v>
      </c>
      <c r="J33" s="136">
        <f>Invoerenduet!$AH$8</f>
        <v>0</v>
      </c>
      <c r="K33" s="130" t="s">
        <v>79</v>
      </c>
      <c r="L33" s="164" t="s">
        <v>80</v>
      </c>
      <c r="M33" s="165">
        <f>Invoerenduet!$C$1</f>
        <v>50</v>
      </c>
      <c r="N33" s="166" t="s">
        <v>81</v>
      </c>
      <c r="O33" s="167">
        <f>ROUND(Invoerenduet!$BX$8*Invoerenduet!$C$1/100,4)</f>
        <v>0</v>
      </c>
      <c r="P33" s="49">
        <f>Invoerenduet!$BY$8</f>
      </c>
    </row>
    <row r="34" spans="1:16" ht="18.75" customHeight="1">
      <c r="A34" s="135">
        <f>Invoerenduet!$I$8</f>
        <v>0</v>
      </c>
      <c r="B34" s="135">
        <f>Invoerenduet!$G$8</f>
        <v>0</v>
      </c>
      <c r="C34" s="135">
        <f>Invoerenduet!$H$8</f>
        <v>0</v>
      </c>
      <c r="D34" s="126">
        <v>0.4</v>
      </c>
      <c r="E34" s="127">
        <f>Invoerenduet!$AO$8</f>
        <v>0</v>
      </c>
      <c r="F34" s="127">
        <f>Invoerenduet!$AP$8</f>
        <v>0</v>
      </c>
      <c r="G34" s="127">
        <f>Invoerenduet!$AQ$8</f>
        <v>0</v>
      </c>
      <c r="H34" s="128">
        <f>Invoerenduet!$AR$8</f>
        <v>0</v>
      </c>
      <c r="I34" s="128">
        <f>Invoerenduet!$AS$8</f>
        <v>0</v>
      </c>
      <c r="J34" s="136">
        <f>Invoerenduet!$AU$8</f>
        <v>0</v>
      </c>
      <c r="K34" s="137" t="s">
        <v>82</v>
      </c>
      <c r="L34" s="138" t="s">
        <v>83</v>
      </c>
      <c r="M34" s="139">
        <f>Invoerenduet!$C$3</f>
        <v>0</v>
      </c>
      <c r="N34" s="140" t="s">
        <v>81</v>
      </c>
      <c r="O34" s="141">
        <f>ROUND(Invoerenduet!$S$8*Invoerenduet!$C$3/100,4)</f>
        <v>0</v>
      </c>
      <c r="P34" s="7">
        <f>Invoerenduet!$T$8</f>
      </c>
    </row>
    <row r="35" spans="1:11" ht="18.75" customHeight="1">
      <c r="A35" s="135">
        <f>Invoerenduet!$L$8</f>
        <v>0</v>
      </c>
      <c r="B35" s="135">
        <f>Invoerenduet!$J$8</f>
        <v>0</v>
      </c>
      <c r="C35" s="135">
        <f>Invoerenduet!$K$8</f>
        <v>0</v>
      </c>
      <c r="D35" s="126">
        <v>0.3</v>
      </c>
      <c r="E35" s="127">
        <f>Invoerenduet!$BB$8</f>
        <v>0</v>
      </c>
      <c r="F35" s="127">
        <f>Invoerenduet!$BC$8</f>
        <v>0</v>
      </c>
      <c r="G35" s="127">
        <f>Invoerenduet!$BD$8</f>
        <v>0</v>
      </c>
      <c r="H35" s="128">
        <f>Invoerenduet!$BE$8</f>
        <v>0</v>
      </c>
      <c r="I35" s="128">
        <f>Invoerenduet!$BF$8</f>
        <v>0</v>
      </c>
      <c r="J35" s="136">
        <f>Invoerenduet!$BH$8</f>
        <v>0</v>
      </c>
      <c r="K35" s="137" t="s">
        <v>84</v>
      </c>
    </row>
    <row r="36" spans="1:10" ht="18.75" customHeight="1">
      <c r="A36" s="135">
        <f>Invoerenduet!$O$8</f>
        <v>0</v>
      </c>
      <c r="B36" s="135">
        <f>Invoerenduet!$M$8</f>
        <v>0</v>
      </c>
      <c r="C36" s="135">
        <f>Invoerenduet!$N$8</f>
        <v>0</v>
      </c>
      <c r="F36" s="144"/>
      <c r="G36" s="144"/>
      <c r="H36" s="145"/>
      <c r="I36" s="145"/>
      <c r="J36" s="146">
        <f>SUM(J33:J35)</f>
        <v>0</v>
      </c>
    </row>
    <row r="37" spans="1:11" ht="18.75" customHeight="1">
      <c r="A37" s="135"/>
      <c r="B37" s="135"/>
      <c r="C37" s="135"/>
      <c r="F37" s="135"/>
      <c r="G37" s="135"/>
      <c r="H37" s="147"/>
      <c r="I37" s="148" t="s">
        <v>85</v>
      </c>
      <c r="J37" s="149">
        <f>Invoerenduet!$BK$8</f>
        <v>0</v>
      </c>
      <c r="K37" s="137" t="s">
        <v>86</v>
      </c>
    </row>
    <row r="38" spans="1:16" ht="18.75" customHeight="1">
      <c r="A38" s="135"/>
      <c r="B38" s="135" t="s">
        <v>19</v>
      </c>
      <c r="C38" s="135">
        <f>Invoerenduet!$E$8</f>
        <v>0</v>
      </c>
      <c r="D38" s="96"/>
      <c r="F38" s="135"/>
      <c r="G38" s="135"/>
      <c r="H38" s="147"/>
      <c r="I38" s="148" t="s">
        <v>5</v>
      </c>
      <c r="J38" s="152">
        <f>Invoerenduet!$BL$8</f>
        <v>0</v>
      </c>
      <c r="L38" s="142" t="s">
        <v>95</v>
      </c>
      <c r="M38" s="142">
        <f>Invoerenduet!$C$2</f>
        <v>50</v>
      </c>
      <c r="N38" s="153" t="s">
        <v>81</v>
      </c>
      <c r="O38" s="154">
        <f>Invoerenduet!$BN$8</f>
        <v>0</v>
      </c>
      <c r="P38" s="7">
        <f>Invoerenduet!$V$8</f>
      </c>
    </row>
    <row r="39" spans="1:16" ht="18.75" customHeight="1">
      <c r="A39" s="135"/>
      <c r="B39" s="135" t="s">
        <v>20</v>
      </c>
      <c r="C39" s="135">
        <f>Invoerenduet!$F$8</f>
        <v>0</v>
      </c>
      <c r="D39" s="96"/>
      <c r="F39" s="135"/>
      <c r="G39" s="135"/>
      <c r="H39" s="155"/>
      <c r="J39" s="152"/>
      <c r="L39" s="156" t="s">
        <v>17</v>
      </c>
      <c r="N39" s="142"/>
      <c r="O39" s="143">
        <f>Invoerenduet!$C$8</f>
        <v>0</v>
      </c>
      <c r="P39" s="157"/>
    </row>
    <row r="40" spans="1:10" ht="18.75" customHeight="1">
      <c r="A40" s="135"/>
      <c r="B40" s="135"/>
      <c r="C40" s="135"/>
      <c r="F40" s="135"/>
      <c r="G40" s="135"/>
      <c r="H40" s="147"/>
      <c r="I40" s="156"/>
      <c r="J40" s="152"/>
    </row>
    <row r="41" spans="1:16" ht="18.75" customHeight="1">
      <c r="A41" s="155">
        <f>Invoerenduet!$B$9</f>
        <v>4</v>
      </c>
      <c r="B41" s="161">
        <f>Invoerenduet!$D$9</f>
        <v>0</v>
      </c>
      <c r="C41" s="125">
        <f>Invoerenduet!$Q$9</f>
        <v>0</v>
      </c>
      <c r="D41" s="126">
        <v>0.3</v>
      </c>
      <c r="E41" s="162">
        <f>Invoerenduet!$AB$9</f>
        <v>0</v>
      </c>
      <c r="F41" s="162">
        <f>Invoerenduet!$AC$9</f>
        <v>0</v>
      </c>
      <c r="G41" s="162">
        <f>Invoerenduet!$AD$9</f>
        <v>0</v>
      </c>
      <c r="H41" s="163">
        <f>Invoerenduet!$AE$9</f>
        <v>0</v>
      </c>
      <c r="I41" s="163">
        <f>Invoerenduet!$AF$9</f>
        <v>0</v>
      </c>
      <c r="J41" s="136">
        <f>Invoerenduet!$AH$9</f>
        <v>0</v>
      </c>
      <c r="K41" s="130" t="s">
        <v>79</v>
      </c>
      <c r="L41" s="164" t="s">
        <v>80</v>
      </c>
      <c r="M41" s="165">
        <f>Invoerenduet!$C$1</f>
        <v>50</v>
      </c>
      <c r="N41" s="166" t="s">
        <v>81</v>
      </c>
      <c r="O41" s="167">
        <f>ROUND(Invoerenduet!$BX$9*Invoerenduet!$C$1/100,4)</f>
        <v>0</v>
      </c>
      <c r="P41" s="49">
        <f>Invoerenduet!$BY$9</f>
      </c>
    </row>
    <row r="42" spans="1:16" ht="18.75" customHeight="1">
      <c r="A42" s="135">
        <f>Invoerenduet!$I$9</f>
        <v>0</v>
      </c>
      <c r="B42" s="135">
        <f>Invoerenduet!$G$9</f>
        <v>0</v>
      </c>
      <c r="C42" s="135">
        <f>Invoerenduet!$H$9</f>
        <v>0</v>
      </c>
      <c r="D42" s="126">
        <v>0.4</v>
      </c>
      <c r="E42" s="127">
        <f>Invoerenduet!$AO$9</f>
        <v>0</v>
      </c>
      <c r="F42" s="127">
        <f>Invoerenduet!$AP$9</f>
        <v>0</v>
      </c>
      <c r="G42" s="127">
        <f>Invoerenduet!$AQ$9</f>
        <v>0</v>
      </c>
      <c r="H42" s="128">
        <f>Invoerenduet!$AR$9</f>
        <v>0</v>
      </c>
      <c r="I42" s="128">
        <f>Invoerenduet!$AS$9</f>
        <v>0</v>
      </c>
      <c r="J42" s="136">
        <f>Invoerenduet!$AU$9</f>
        <v>0</v>
      </c>
      <c r="K42" s="137" t="s">
        <v>82</v>
      </c>
      <c r="L42" s="138" t="s">
        <v>83</v>
      </c>
      <c r="M42" s="139">
        <f>Invoerenduet!$C$3</f>
        <v>0</v>
      </c>
      <c r="N42" s="140" t="s">
        <v>81</v>
      </c>
      <c r="O42" s="141">
        <f>ROUND(Invoerenduet!$S$9*Invoerenduet!$C$3/100,4)</f>
        <v>0</v>
      </c>
      <c r="P42" s="7">
        <f>Invoerenduet!$T$9</f>
      </c>
    </row>
    <row r="43" spans="1:11" ht="18.75" customHeight="1">
      <c r="A43" s="135">
        <f>Invoerenduet!$L$9</f>
        <v>0</v>
      </c>
      <c r="B43" s="135">
        <f>Invoerenduet!$J$9</f>
        <v>0</v>
      </c>
      <c r="C43" s="135">
        <f>Invoerenduet!$K$9</f>
        <v>0</v>
      </c>
      <c r="D43" s="126">
        <v>0.3</v>
      </c>
      <c r="E43" s="127">
        <f>Invoerenduet!$BB$9</f>
        <v>0</v>
      </c>
      <c r="F43" s="127">
        <f>Invoerenduet!$BC$9</f>
        <v>0</v>
      </c>
      <c r="G43" s="127">
        <f>Invoerenduet!$BD$9</f>
        <v>0</v>
      </c>
      <c r="H43" s="128">
        <f>Invoerenduet!$BE$9</f>
        <v>0</v>
      </c>
      <c r="I43" s="128">
        <f>Invoerenduet!$BF$9</f>
        <v>0</v>
      </c>
      <c r="J43" s="136">
        <f>Invoerenduet!$BH$9</f>
        <v>0</v>
      </c>
      <c r="K43" s="137" t="s">
        <v>84</v>
      </c>
    </row>
    <row r="44" spans="1:10" ht="18.75" customHeight="1">
      <c r="A44" s="135">
        <f>Invoerenduet!$O$9</f>
        <v>0</v>
      </c>
      <c r="B44" s="135">
        <f>Invoerenduet!$M$9</f>
        <v>0</v>
      </c>
      <c r="C44" s="135">
        <f>Invoerenduet!$N$9</f>
        <v>0</v>
      </c>
      <c r="F44" s="144"/>
      <c r="G44" s="144"/>
      <c r="H44" s="145"/>
      <c r="I44" s="145"/>
      <c r="J44" s="146">
        <f>SUM(J41:J43)</f>
        <v>0</v>
      </c>
    </row>
    <row r="45" spans="1:11" ht="18.75" customHeight="1">
      <c r="A45" s="135"/>
      <c r="B45" s="135"/>
      <c r="C45" s="135"/>
      <c r="F45" s="135"/>
      <c r="G45" s="135"/>
      <c r="H45" s="147"/>
      <c r="I45" s="148" t="s">
        <v>85</v>
      </c>
      <c r="J45" s="149">
        <f>Invoerenduet!$BK$9</f>
        <v>0</v>
      </c>
      <c r="K45" s="137" t="s">
        <v>86</v>
      </c>
    </row>
    <row r="46" spans="1:16" ht="18.75" customHeight="1">
      <c r="A46" s="135"/>
      <c r="B46" s="135" t="s">
        <v>19</v>
      </c>
      <c r="C46" s="135">
        <f>Invoerenduet!$E$9</f>
        <v>0</v>
      </c>
      <c r="D46" s="96"/>
      <c r="F46" s="135"/>
      <c r="G46" s="135"/>
      <c r="H46" s="147"/>
      <c r="I46" s="148" t="s">
        <v>5</v>
      </c>
      <c r="J46" s="152">
        <f>Invoerenduet!$BL$9</f>
        <v>0</v>
      </c>
      <c r="L46" s="142" t="s">
        <v>95</v>
      </c>
      <c r="M46" s="142">
        <f>Invoerenduet!$C$2</f>
        <v>50</v>
      </c>
      <c r="N46" s="153" t="s">
        <v>81</v>
      </c>
      <c r="O46" s="154">
        <f>Invoerenduet!$BN$9</f>
        <v>0</v>
      </c>
      <c r="P46" s="7">
        <f>Invoerenduet!$V$9</f>
      </c>
    </row>
    <row r="47" spans="1:16" ht="18.75" customHeight="1">
      <c r="A47" s="135"/>
      <c r="B47" s="135" t="s">
        <v>20</v>
      </c>
      <c r="C47" s="135">
        <f>Invoerenduet!$F$9</f>
        <v>0</v>
      </c>
      <c r="D47" s="96"/>
      <c r="F47" s="135"/>
      <c r="G47" s="135"/>
      <c r="H47" s="155"/>
      <c r="J47" s="152"/>
      <c r="L47" s="156" t="s">
        <v>17</v>
      </c>
      <c r="N47" s="142"/>
      <c r="O47" s="143">
        <f>Invoerenduet!$C$9</f>
        <v>0</v>
      </c>
      <c r="P47" s="157"/>
    </row>
    <row r="48" spans="1:10" ht="18.75" customHeight="1">
      <c r="A48" s="135"/>
      <c r="B48" s="135"/>
      <c r="C48" s="135"/>
      <c r="F48" s="135"/>
      <c r="G48" s="135"/>
      <c r="H48" s="147"/>
      <c r="I48" s="156"/>
      <c r="J48" s="152"/>
    </row>
    <row r="49" spans="1:16" ht="18.75" customHeight="1">
      <c r="A49" s="155">
        <f>Invoerenduet!$B$10</f>
        <v>4</v>
      </c>
      <c r="B49" s="161">
        <f>Invoerenduet!$D$10</f>
        <v>0</v>
      </c>
      <c r="C49" s="125">
        <f>Invoerenduet!$Q$10</f>
        <v>0</v>
      </c>
      <c r="D49" s="126">
        <v>0.3</v>
      </c>
      <c r="E49" s="162">
        <f>Invoerenduet!$AB$10</f>
        <v>0</v>
      </c>
      <c r="F49" s="162">
        <f>Invoerenduet!$AC$10</f>
        <v>0</v>
      </c>
      <c r="G49" s="162">
        <f>Invoerenduet!$AD$10</f>
        <v>0</v>
      </c>
      <c r="H49" s="163">
        <f>Invoerenduet!$AE$10</f>
        <v>0</v>
      </c>
      <c r="I49" s="163">
        <f>Invoerenduet!$AF$10</f>
        <v>0</v>
      </c>
      <c r="J49" s="136">
        <f>Invoerenduet!$AH$10</f>
        <v>0</v>
      </c>
      <c r="K49" s="130" t="s">
        <v>79</v>
      </c>
      <c r="L49" s="164" t="s">
        <v>80</v>
      </c>
      <c r="M49" s="165">
        <f>Invoerenduet!$C$1</f>
        <v>50</v>
      </c>
      <c r="N49" s="166" t="s">
        <v>81</v>
      </c>
      <c r="O49" s="167">
        <f>ROUND(Invoerenduet!$BX$10*Invoerenduet!$C$1/100,4)</f>
        <v>0</v>
      </c>
      <c r="P49" s="49">
        <f>Invoerenduet!$BY$10</f>
      </c>
    </row>
    <row r="50" spans="1:16" ht="18.75" customHeight="1">
      <c r="A50" s="135">
        <f>Invoerenduet!$I$10</f>
        <v>0</v>
      </c>
      <c r="B50" s="135">
        <f>Invoerenduet!$G$10</f>
        <v>0</v>
      </c>
      <c r="C50" s="135">
        <f>Invoerenduet!$H$10</f>
        <v>0</v>
      </c>
      <c r="D50" s="126">
        <v>0.4</v>
      </c>
      <c r="E50" s="127">
        <f>Invoerenduet!$AO$10</f>
        <v>0</v>
      </c>
      <c r="F50" s="127">
        <f>Invoerenduet!$AP$10</f>
        <v>0</v>
      </c>
      <c r="G50" s="127">
        <f>Invoerenduet!$AQ$10</f>
        <v>0</v>
      </c>
      <c r="H50" s="128">
        <f>Invoerenduet!$AR$10</f>
        <v>0</v>
      </c>
      <c r="I50" s="128">
        <f>Invoerenduet!$AS$10</f>
        <v>0</v>
      </c>
      <c r="J50" s="136">
        <f>Invoerenduet!$AU$10</f>
        <v>0</v>
      </c>
      <c r="K50" s="137" t="s">
        <v>82</v>
      </c>
      <c r="L50" s="138" t="s">
        <v>83</v>
      </c>
      <c r="M50" s="139">
        <f>Invoerenduet!$C$3</f>
        <v>0</v>
      </c>
      <c r="N50" s="140" t="s">
        <v>81</v>
      </c>
      <c r="O50" s="141">
        <f>ROUND(Invoerenduet!$S$10*Invoerenduet!$C$3/100,4)</f>
        <v>0</v>
      </c>
      <c r="P50" s="7">
        <f>Invoerenduet!$T$10</f>
      </c>
    </row>
    <row r="51" spans="1:11" ht="18.75" customHeight="1">
      <c r="A51" s="135">
        <f>Invoerenduet!$L$10</f>
        <v>0</v>
      </c>
      <c r="B51" s="135">
        <f>Invoerenduet!$J$10</f>
        <v>0</v>
      </c>
      <c r="C51" s="135">
        <f>Invoerenduet!$K$10</f>
        <v>0</v>
      </c>
      <c r="D51" s="126">
        <v>0.3</v>
      </c>
      <c r="E51" s="127">
        <f>Invoerenduet!$BB$10</f>
        <v>0</v>
      </c>
      <c r="F51" s="127">
        <f>Invoerenduet!$BC$10</f>
        <v>0</v>
      </c>
      <c r="G51" s="127">
        <f>Invoerenduet!$BD$10</f>
        <v>0</v>
      </c>
      <c r="H51" s="128">
        <f>Invoerenduet!$BE$10</f>
        <v>0</v>
      </c>
      <c r="I51" s="128">
        <f>Invoerenduet!$BF$10</f>
        <v>0</v>
      </c>
      <c r="J51" s="136">
        <f>Invoerenduet!$BH$10</f>
        <v>0</v>
      </c>
      <c r="K51" s="137" t="s">
        <v>84</v>
      </c>
    </row>
    <row r="52" spans="1:10" ht="18.75" customHeight="1">
      <c r="A52" s="135">
        <f>Invoerenduet!$O$10</f>
        <v>0</v>
      </c>
      <c r="B52" s="135">
        <f>Invoerenduet!$M$10</f>
        <v>0</v>
      </c>
      <c r="C52" s="135">
        <f>Invoerenduet!$N$10</f>
        <v>0</v>
      </c>
      <c r="F52" s="144"/>
      <c r="G52" s="144"/>
      <c r="H52" s="145"/>
      <c r="I52" s="145"/>
      <c r="J52" s="146">
        <f>SUM(J49:J51)</f>
        <v>0</v>
      </c>
    </row>
    <row r="53" spans="1:11" ht="18.75" customHeight="1">
      <c r="A53" s="135"/>
      <c r="B53" s="135"/>
      <c r="C53" s="135"/>
      <c r="F53" s="135"/>
      <c r="G53" s="135"/>
      <c r="H53" s="147"/>
      <c r="I53" s="148" t="s">
        <v>85</v>
      </c>
      <c r="J53" s="149">
        <f>Invoerenduet!$BK$10</f>
        <v>0</v>
      </c>
      <c r="K53" s="137" t="s">
        <v>86</v>
      </c>
    </row>
    <row r="54" spans="1:16" ht="18.75" customHeight="1">
      <c r="A54" s="135"/>
      <c r="B54" s="135" t="s">
        <v>19</v>
      </c>
      <c r="C54" s="135">
        <f>Invoerenduet!$E$10</f>
        <v>0</v>
      </c>
      <c r="D54" s="96"/>
      <c r="F54" s="135"/>
      <c r="G54" s="135"/>
      <c r="H54" s="147"/>
      <c r="I54" s="148" t="s">
        <v>5</v>
      </c>
      <c r="J54" s="152">
        <f>Invoerenduet!$BL$10</f>
        <v>0</v>
      </c>
      <c r="L54" s="142" t="s">
        <v>95</v>
      </c>
      <c r="M54" s="142">
        <f>Invoerenduet!$C$2</f>
        <v>50</v>
      </c>
      <c r="N54" s="153" t="s">
        <v>81</v>
      </c>
      <c r="O54" s="154">
        <f>Invoerenduet!$BN$10</f>
        <v>0</v>
      </c>
      <c r="P54" s="7">
        <f>Invoerenduet!$V$10</f>
      </c>
    </row>
    <row r="55" spans="1:16" ht="18.75" customHeight="1">
      <c r="A55" s="135"/>
      <c r="B55" s="135" t="s">
        <v>20</v>
      </c>
      <c r="C55" s="135">
        <f>Invoerenduet!$F$10</f>
        <v>0</v>
      </c>
      <c r="D55" s="96"/>
      <c r="F55" s="135"/>
      <c r="G55" s="135"/>
      <c r="H55" s="155"/>
      <c r="J55" s="152"/>
      <c r="L55" s="156" t="s">
        <v>17</v>
      </c>
      <c r="N55" s="142"/>
      <c r="O55" s="143">
        <f>Invoerenduet!$C$10</f>
        <v>0</v>
      </c>
      <c r="P55" s="157"/>
    </row>
    <row r="56" spans="1:10" ht="18.75" customHeight="1">
      <c r="A56" s="135"/>
      <c r="B56" s="135"/>
      <c r="C56" s="135"/>
      <c r="F56" s="135"/>
      <c r="G56" s="135"/>
      <c r="H56" s="147"/>
      <c r="I56" s="156"/>
      <c r="J56" s="152"/>
    </row>
    <row r="57" spans="1:16" ht="18.75" customHeight="1">
      <c r="A57" s="155">
        <f>Invoerenduet!$B$11</f>
        <v>4</v>
      </c>
      <c r="B57" s="161">
        <f>Invoerenduet!$D$11</f>
        <v>0</v>
      </c>
      <c r="C57" s="125">
        <f>Invoerenduet!$Q$11</f>
        <v>0</v>
      </c>
      <c r="D57" s="126">
        <v>0.3</v>
      </c>
      <c r="E57" s="162">
        <f>Invoerenduet!$AB$11</f>
        <v>0</v>
      </c>
      <c r="F57" s="162">
        <f>Invoerenduet!$AC$11</f>
        <v>0</v>
      </c>
      <c r="G57" s="162">
        <f>Invoerenduet!$AD$11</f>
        <v>0</v>
      </c>
      <c r="H57" s="163">
        <f>Invoerenduet!$AE$11</f>
        <v>0</v>
      </c>
      <c r="I57" s="163">
        <f>Invoerenduet!$AF$11</f>
        <v>0</v>
      </c>
      <c r="J57" s="136">
        <f>Invoerenduet!$AH$11</f>
        <v>0</v>
      </c>
      <c r="K57" s="130" t="s">
        <v>79</v>
      </c>
      <c r="L57" s="164" t="s">
        <v>80</v>
      </c>
      <c r="M57" s="165">
        <f>Invoerenduet!$C$1</f>
        <v>50</v>
      </c>
      <c r="N57" s="166" t="s">
        <v>81</v>
      </c>
      <c r="O57" s="167">
        <f>ROUND(Invoerenduet!$BX$11*Invoerenduet!$C$1/100,4)</f>
        <v>0</v>
      </c>
      <c r="P57" s="49">
        <f>Invoerenduet!$BY$11</f>
      </c>
    </row>
    <row r="58" spans="1:16" ht="18.75" customHeight="1">
      <c r="A58" s="135">
        <f>Invoerenduet!$I$11</f>
        <v>0</v>
      </c>
      <c r="B58" s="135">
        <f>Invoerenduet!$G$11</f>
        <v>0</v>
      </c>
      <c r="C58" s="135">
        <f>Invoerenduet!$H$11</f>
        <v>0</v>
      </c>
      <c r="D58" s="126">
        <v>0.4</v>
      </c>
      <c r="E58" s="127">
        <f>Invoerenduet!$AO$11</f>
        <v>0</v>
      </c>
      <c r="F58" s="127">
        <f>Invoerenduet!$AP$11</f>
        <v>0</v>
      </c>
      <c r="G58" s="127">
        <f>Invoerenduet!$AQ$11</f>
        <v>0</v>
      </c>
      <c r="H58" s="128">
        <f>Invoerenduet!$AR$11</f>
        <v>0</v>
      </c>
      <c r="I58" s="128">
        <f>Invoerenduet!$AS$11</f>
        <v>0</v>
      </c>
      <c r="J58" s="136">
        <f>Invoerenduet!$AU$11</f>
        <v>0</v>
      </c>
      <c r="K58" s="137" t="s">
        <v>82</v>
      </c>
      <c r="L58" s="138" t="s">
        <v>83</v>
      </c>
      <c r="M58" s="139">
        <f>Invoerenduet!$C$3</f>
        <v>0</v>
      </c>
      <c r="N58" s="140" t="s">
        <v>81</v>
      </c>
      <c r="O58" s="141">
        <f>ROUND(Invoerenduet!$S$11*Invoerenduet!$C$3/100,4)</f>
        <v>0</v>
      </c>
      <c r="P58" s="7">
        <f>Invoerenduet!$T$11</f>
      </c>
    </row>
    <row r="59" spans="1:11" ht="18.75" customHeight="1">
      <c r="A59" s="135">
        <f>Invoerenduet!$L$11</f>
        <v>0</v>
      </c>
      <c r="B59" s="135">
        <f>Invoerenduet!$J$11</f>
        <v>0</v>
      </c>
      <c r="C59" s="135">
        <f>Invoerenduet!$K$11</f>
        <v>0</v>
      </c>
      <c r="D59" s="126">
        <v>0.3</v>
      </c>
      <c r="E59" s="127">
        <f>Invoerenduet!$BB$11</f>
        <v>0</v>
      </c>
      <c r="F59" s="127">
        <f>Invoerenduet!$BC$11</f>
        <v>0</v>
      </c>
      <c r="G59" s="127">
        <f>Invoerenduet!$BD$11</f>
        <v>0</v>
      </c>
      <c r="H59" s="128">
        <f>Invoerenduet!$BE$11</f>
        <v>0</v>
      </c>
      <c r="I59" s="128">
        <f>Invoerenduet!$BF$11</f>
        <v>0</v>
      </c>
      <c r="J59" s="136">
        <f>Invoerenduet!$BH$11</f>
        <v>0</v>
      </c>
      <c r="K59" s="137" t="s">
        <v>84</v>
      </c>
    </row>
    <row r="60" spans="1:10" ht="18.75" customHeight="1">
      <c r="A60" s="135">
        <f>Invoerenduet!$O$11</f>
        <v>0</v>
      </c>
      <c r="B60" s="135">
        <f>Invoerenduet!$M$11</f>
        <v>0</v>
      </c>
      <c r="C60" s="135">
        <f>Invoerenduet!$N$11</f>
        <v>0</v>
      </c>
      <c r="F60" s="144"/>
      <c r="G60" s="144"/>
      <c r="H60" s="145"/>
      <c r="I60" s="145"/>
      <c r="J60" s="146">
        <f>SUM(J57:J59)</f>
        <v>0</v>
      </c>
    </row>
    <row r="61" spans="1:11" ht="18.75" customHeight="1">
      <c r="A61" s="135"/>
      <c r="B61" s="135"/>
      <c r="C61" s="135"/>
      <c r="F61" s="135"/>
      <c r="G61" s="135"/>
      <c r="H61" s="147"/>
      <c r="I61" s="148" t="s">
        <v>85</v>
      </c>
      <c r="J61" s="149">
        <f>Invoerenduet!$BK$11</f>
        <v>0</v>
      </c>
      <c r="K61" s="137" t="s">
        <v>86</v>
      </c>
    </row>
    <row r="62" spans="1:16" ht="18.75" customHeight="1">
      <c r="A62" s="135"/>
      <c r="B62" s="135" t="s">
        <v>19</v>
      </c>
      <c r="C62" s="135">
        <f>Invoerenduet!$E$11</f>
        <v>0</v>
      </c>
      <c r="D62" s="96"/>
      <c r="F62" s="135"/>
      <c r="G62" s="135"/>
      <c r="H62" s="147"/>
      <c r="I62" s="148" t="s">
        <v>5</v>
      </c>
      <c r="J62" s="152">
        <f>Invoerenduet!$BL$11</f>
        <v>0</v>
      </c>
      <c r="L62" s="142" t="s">
        <v>95</v>
      </c>
      <c r="M62" s="142">
        <f>Invoerenduet!$C$2</f>
        <v>50</v>
      </c>
      <c r="N62" s="153" t="s">
        <v>81</v>
      </c>
      <c r="O62" s="154">
        <f>Invoerenduet!$BN$11</f>
        <v>0</v>
      </c>
      <c r="P62" s="7">
        <f>Invoerenduet!$V$11</f>
      </c>
    </row>
    <row r="63" spans="1:16" ht="18.75" customHeight="1">
      <c r="A63" s="135"/>
      <c r="B63" s="135" t="s">
        <v>20</v>
      </c>
      <c r="C63" s="135">
        <f>Invoerenduet!$F$11</f>
        <v>0</v>
      </c>
      <c r="D63" s="96"/>
      <c r="F63" s="135"/>
      <c r="G63" s="135"/>
      <c r="H63" s="155"/>
      <c r="J63" s="152"/>
      <c r="L63" s="156" t="s">
        <v>17</v>
      </c>
      <c r="N63" s="142"/>
      <c r="O63" s="143">
        <f>Invoerenduet!$C$11</f>
        <v>0</v>
      </c>
      <c r="P63" s="157"/>
    </row>
    <row r="64" spans="1:10" ht="18.75" customHeight="1">
      <c r="A64" s="135"/>
      <c r="B64" s="135"/>
      <c r="C64" s="135"/>
      <c r="F64" s="135"/>
      <c r="G64" s="135"/>
      <c r="H64" s="147"/>
      <c r="I64" s="156"/>
      <c r="J64" s="152"/>
    </row>
    <row r="65" spans="1:16" ht="18.75" customHeight="1">
      <c r="A65" s="155">
        <f>Invoerenduet!$B$12</f>
        <v>4</v>
      </c>
      <c r="B65" s="161">
        <f>Invoerenduet!$D$12</f>
        <v>0</v>
      </c>
      <c r="C65" s="125">
        <f>Invoerenduet!$Q$12</f>
        <v>0</v>
      </c>
      <c r="D65" s="126">
        <v>0.3</v>
      </c>
      <c r="E65" s="162">
        <f>Invoerenduet!$AB$12</f>
        <v>0</v>
      </c>
      <c r="F65" s="162">
        <f>Invoerenduet!$AC$12</f>
        <v>0</v>
      </c>
      <c r="G65" s="162">
        <f>Invoerenduet!$AD$12</f>
        <v>0</v>
      </c>
      <c r="H65" s="163">
        <f>Invoerenduet!$AE$12</f>
        <v>0</v>
      </c>
      <c r="I65" s="163">
        <f>Invoerenduet!$AF$12</f>
        <v>0</v>
      </c>
      <c r="J65" s="136">
        <f>Invoerenduet!$AH$12</f>
        <v>0</v>
      </c>
      <c r="K65" s="130" t="s">
        <v>79</v>
      </c>
      <c r="L65" s="164" t="s">
        <v>80</v>
      </c>
      <c r="M65" s="165">
        <f>Invoerenduet!$C$1</f>
        <v>50</v>
      </c>
      <c r="N65" s="166" t="s">
        <v>81</v>
      </c>
      <c r="O65" s="167">
        <f>ROUND(Invoerenduet!$BX$12*Invoerenduet!$C$1/100,4)</f>
        <v>0</v>
      </c>
      <c r="P65" s="49">
        <f>Invoerenduet!$BY$12</f>
      </c>
    </row>
    <row r="66" spans="1:16" ht="18.75" customHeight="1">
      <c r="A66" s="135">
        <f>Invoerenduet!$I$12</f>
        <v>0</v>
      </c>
      <c r="B66" s="135">
        <f>Invoerenduet!$G$12</f>
        <v>0</v>
      </c>
      <c r="C66" s="135">
        <f>Invoerenduet!$H$12</f>
        <v>0</v>
      </c>
      <c r="D66" s="126">
        <v>0.4</v>
      </c>
      <c r="E66" s="127">
        <f>Invoerenduet!$AO$12</f>
        <v>0</v>
      </c>
      <c r="F66" s="127">
        <f>Invoerenduet!$AP$12</f>
        <v>0</v>
      </c>
      <c r="G66" s="127">
        <f>Invoerenduet!$AQ$12</f>
        <v>0</v>
      </c>
      <c r="H66" s="128">
        <f>Invoerenduet!$AR$12</f>
        <v>0</v>
      </c>
      <c r="I66" s="128">
        <f>Invoerenduet!$AS$12</f>
        <v>0</v>
      </c>
      <c r="J66" s="136">
        <f>Invoerenduet!$AU$12</f>
        <v>0</v>
      </c>
      <c r="K66" s="137" t="s">
        <v>82</v>
      </c>
      <c r="L66" s="138" t="s">
        <v>83</v>
      </c>
      <c r="M66" s="139">
        <f>Invoerenduet!$C$3</f>
        <v>0</v>
      </c>
      <c r="N66" s="140" t="s">
        <v>81</v>
      </c>
      <c r="O66" s="141">
        <f>ROUND(Invoerenduet!$S$12*Invoerenduet!$C$3/100,4)</f>
        <v>0</v>
      </c>
      <c r="P66" s="7">
        <f>Invoerenduet!$T$12</f>
      </c>
    </row>
    <row r="67" spans="1:11" ht="18.75" customHeight="1">
      <c r="A67" s="135">
        <f>Invoerenduet!$L$12</f>
        <v>0</v>
      </c>
      <c r="B67" s="135">
        <f>Invoerenduet!$J$12</f>
        <v>0</v>
      </c>
      <c r="C67" s="135">
        <f>Invoerenduet!$K$12</f>
        <v>0</v>
      </c>
      <c r="D67" s="126">
        <v>0.3</v>
      </c>
      <c r="E67" s="127">
        <f>Invoerenduet!$BB$12</f>
        <v>0</v>
      </c>
      <c r="F67" s="127">
        <f>Invoerenduet!$BC$12</f>
        <v>0</v>
      </c>
      <c r="G67" s="127">
        <f>Invoerenduet!$BD$12</f>
        <v>0</v>
      </c>
      <c r="H67" s="128">
        <f>Invoerenduet!$BE$12</f>
        <v>0</v>
      </c>
      <c r="I67" s="128">
        <f>Invoerenduet!$BF$12</f>
        <v>0</v>
      </c>
      <c r="J67" s="136">
        <f>Invoerenduet!$BH$12</f>
        <v>0</v>
      </c>
      <c r="K67" s="137" t="s">
        <v>84</v>
      </c>
    </row>
    <row r="68" spans="1:10" ht="18.75" customHeight="1">
      <c r="A68" s="135">
        <f>Invoerenduet!$O$12</f>
        <v>0</v>
      </c>
      <c r="B68" s="135">
        <f>Invoerenduet!$M$12</f>
        <v>0</v>
      </c>
      <c r="C68" s="135">
        <f>Invoerenduet!$N$12</f>
        <v>0</v>
      </c>
      <c r="F68" s="144"/>
      <c r="G68" s="144"/>
      <c r="H68" s="145"/>
      <c r="I68" s="145"/>
      <c r="J68" s="146">
        <f>SUM(J65:J67)</f>
        <v>0</v>
      </c>
    </row>
    <row r="69" spans="1:11" ht="18.75" customHeight="1">
      <c r="A69" s="135"/>
      <c r="B69" s="135"/>
      <c r="C69" s="135"/>
      <c r="F69" s="135"/>
      <c r="G69" s="135"/>
      <c r="H69" s="147"/>
      <c r="I69" s="148" t="s">
        <v>85</v>
      </c>
      <c r="J69" s="149">
        <f>Invoerenduet!$BK$12</f>
        <v>0</v>
      </c>
      <c r="K69" s="137" t="s">
        <v>86</v>
      </c>
    </row>
    <row r="70" spans="1:16" ht="18.75" customHeight="1">
      <c r="A70" s="135"/>
      <c r="B70" s="135" t="s">
        <v>19</v>
      </c>
      <c r="C70" s="135">
        <f>Invoerenduet!$E$12</f>
        <v>0</v>
      </c>
      <c r="D70" s="96"/>
      <c r="F70" s="135"/>
      <c r="G70" s="135"/>
      <c r="H70" s="147"/>
      <c r="I70" s="148" t="s">
        <v>5</v>
      </c>
      <c r="J70" s="152">
        <f>Invoerenduet!$BL$12</f>
        <v>0</v>
      </c>
      <c r="L70" s="142" t="s">
        <v>95</v>
      </c>
      <c r="M70" s="142">
        <f>Invoerenduet!$C$2</f>
        <v>50</v>
      </c>
      <c r="N70" s="153" t="s">
        <v>81</v>
      </c>
      <c r="O70" s="154">
        <f>Invoerenduet!$BN$12</f>
        <v>0</v>
      </c>
      <c r="P70" s="7">
        <f>Invoerenduet!$V$12</f>
      </c>
    </row>
    <row r="71" spans="1:16" ht="18.75" customHeight="1">
      <c r="A71" s="135"/>
      <c r="B71" s="135" t="s">
        <v>20</v>
      </c>
      <c r="C71" s="135">
        <f>Invoerenduet!$F$12</f>
        <v>0</v>
      </c>
      <c r="D71" s="96"/>
      <c r="F71" s="135"/>
      <c r="G71" s="135"/>
      <c r="H71" s="155"/>
      <c r="J71" s="152"/>
      <c r="L71" s="156" t="s">
        <v>17</v>
      </c>
      <c r="N71" s="142"/>
      <c r="O71" s="143">
        <f>Invoerenduet!$C$12</f>
        <v>0</v>
      </c>
      <c r="P71" s="157"/>
    </row>
    <row r="72" spans="1:10" ht="18.75" customHeight="1">
      <c r="A72" s="135"/>
      <c r="B72" s="135"/>
      <c r="C72" s="135"/>
      <c r="F72" s="135"/>
      <c r="G72" s="135"/>
      <c r="H72" s="147"/>
      <c r="I72" s="156"/>
      <c r="J72" s="152"/>
    </row>
    <row r="73" spans="1:16" ht="18.75" customHeight="1">
      <c r="A73" s="155">
        <f>Invoerenduet!$B$13</f>
        <v>4</v>
      </c>
      <c r="B73" s="161">
        <f>Invoerenduet!$D$13</f>
        <v>0</v>
      </c>
      <c r="C73" s="125">
        <f>Invoerenduet!$Q$13</f>
        <v>0</v>
      </c>
      <c r="D73" s="126">
        <v>0.3</v>
      </c>
      <c r="E73" s="162">
        <f>Invoerenduet!$AB$13</f>
        <v>0</v>
      </c>
      <c r="F73" s="162">
        <f>Invoerenduet!$AC$13</f>
        <v>0</v>
      </c>
      <c r="G73" s="162">
        <f>Invoerenduet!$AD$13</f>
        <v>0</v>
      </c>
      <c r="H73" s="163">
        <f>Invoerenduet!$AE$13</f>
        <v>0</v>
      </c>
      <c r="I73" s="163">
        <f>Invoerenduet!$AF$13</f>
        <v>0</v>
      </c>
      <c r="J73" s="136">
        <f>Invoerenduet!$AH$13</f>
        <v>0</v>
      </c>
      <c r="K73" s="130" t="s">
        <v>79</v>
      </c>
      <c r="L73" s="164" t="s">
        <v>80</v>
      </c>
      <c r="M73" s="165">
        <f>Invoerenduet!$C$1</f>
        <v>50</v>
      </c>
      <c r="N73" s="166" t="s">
        <v>81</v>
      </c>
      <c r="O73" s="167">
        <f>ROUND(Invoerenduet!$BX$13*Invoerenduet!$C$1/100,4)</f>
        <v>0</v>
      </c>
      <c r="P73" s="49">
        <f>Invoerenduet!$BY$13</f>
      </c>
    </row>
    <row r="74" spans="1:16" ht="18.75" customHeight="1">
      <c r="A74" s="135">
        <f>Invoerenduet!$I$13</f>
        <v>0</v>
      </c>
      <c r="B74" s="135">
        <f>Invoerenduet!$G$13</f>
        <v>0</v>
      </c>
      <c r="C74" s="135">
        <f>Invoerenduet!$H$13</f>
        <v>0</v>
      </c>
      <c r="D74" s="126">
        <v>0.4</v>
      </c>
      <c r="E74" s="127">
        <f>Invoerenduet!$AO$13</f>
        <v>0</v>
      </c>
      <c r="F74" s="127">
        <f>Invoerenduet!$AP$13</f>
        <v>0</v>
      </c>
      <c r="G74" s="127">
        <f>Invoerenduet!$AQ$13</f>
        <v>0</v>
      </c>
      <c r="H74" s="128">
        <f>Invoerenduet!$AR$13</f>
        <v>0</v>
      </c>
      <c r="I74" s="128">
        <f>Invoerenduet!$AS$13</f>
        <v>0</v>
      </c>
      <c r="J74" s="136">
        <f>Invoerenduet!$AU$13</f>
        <v>0</v>
      </c>
      <c r="K74" s="137" t="s">
        <v>82</v>
      </c>
      <c r="L74" s="138" t="s">
        <v>83</v>
      </c>
      <c r="M74" s="139">
        <f>Invoerenduet!$C$3</f>
        <v>0</v>
      </c>
      <c r="N74" s="140" t="s">
        <v>81</v>
      </c>
      <c r="O74" s="141">
        <f>ROUND(Invoerenduet!$S$13*Invoerenduet!$C$3/100,4)</f>
        <v>0</v>
      </c>
      <c r="P74" s="7">
        <f>Invoerenduet!$T$13</f>
      </c>
    </row>
    <row r="75" spans="1:11" ht="18.75" customHeight="1">
      <c r="A75" s="135">
        <f>Invoerenduet!$L$13</f>
        <v>0</v>
      </c>
      <c r="B75" s="135">
        <f>Invoerenduet!$J$13</f>
        <v>0</v>
      </c>
      <c r="C75" s="135">
        <f>Invoerenduet!$K$13</f>
        <v>0</v>
      </c>
      <c r="D75" s="126">
        <v>0.3</v>
      </c>
      <c r="E75" s="127">
        <f>Invoerenduet!$BB$13</f>
        <v>0</v>
      </c>
      <c r="F75" s="127">
        <f>Invoerenduet!$BC$13</f>
        <v>0</v>
      </c>
      <c r="G75" s="127">
        <f>Invoerenduet!$BD$13</f>
        <v>0</v>
      </c>
      <c r="H75" s="128">
        <f>Invoerenduet!$BE$13</f>
        <v>0</v>
      </c>
      <c r="I75" s="128">
        <f>Invoerenduet!$BF$13</f>
        <v>0</v>
      </c>
      <c r="J75" s="136">
        <f>Invoerenduet!$BH$13</f>
        <v>0</v>
      </c>
      <c r="K75" s="137" t="s">
        <v>84</v>
      </c>
    </row>
    <row r="76" spans="1:10" ht="18.75" customHeight="1">
      <c r="A76" s="135">
        <f>Invoerenduet!$O$13</f>
        <v>0</v>
      </c>
      <c r="B76" s="135">
        <f>Invoerenduet!$M$13</f>
        <v>0</v>
      </c>
      <c r="C76" s="135">
        <f>Invoerenduet!$N$13</f>
        <v>0</v>
      </c>
      <c r="F76" s="144"/>
      <c r="G76" s="144"/>
      <c r="H76" s="145"/>
      <c r="I76" s="145"/>
      <c r="J76" s="146">
        <f>SUM(J73:J75)</f>
        <v>0</v>
      </c>
    </row>
    <row r="77" spans="1:11" ht="18.75" customHeight="1">
      <c r="A77" s="135"/>
      <c r="B77" s="135"/>
      <c r="C77" s="135"/>
      <c r="F77" s="135"/>
      <c r="G77" s="135"/>
      <c r="H77" s="147"/>
      <c r="I77" s="148" t="s">
        <v>85</v>
      </c>
      <c r="J77" s="149">
        <f>Invoerenduet!$BK$13</f>
        <v>0</v>
      </c>
      <c r="K77" s="137" t="s">
        <v>86</v>
      </c>
    </row>
    <row r="78" spans="1:16" ht="18.75" customHeight="1">
      <c r="A78" s="135"/>
      <c r="B78" s="135" t="s">
        <v>19</v>
      </c>
      <c r="C78" s="135">
        <f>Invoerenduet!$E$13</f>
        <v>0</v>
      </c>
      <c r="D78" s="96"/>
      <c r="F78" s="135"/>
      <c r="G78" s="135"/>
      <c r="H78" s="147"/>
      <c r="I78" s="148" t="s">
        <v>5</v>
      </c>
      <c r="J78" s="152">
        <f>Invoerenduet!$BL$13</f>
        <v>0</v>
      </c>
      <c r="L78" s="142" t="s">
        <v>95</v>
      </c>
      <c r="M78" s="142">
        <f>Invoerenduet!$C$2</f>
        <v>50</v>
      </c>
      <c r="N78" s="153" t="s">
        <v>81</v>
      </c>
      <c r="O78" s="154">
        <f>Invoerenduet!$BN$13</f>
        <v>0</v>
      </c>
      <c r="P78" s="7">
        <f>Invoerenduet!$V$13</f>
      </c>
    </row>
    <row r="79" spans="1:16" ht="18.75" customHeight="1">
      <c r="A79" s="135"/>
      <c r="B79" s="135" t="s">
        <v>20</v>
      </c>
      <c r="C79" s="135">
        <f>Invoerenduet!$F$13</f>
        <v>0</v>
      </c>
      <c r="D79" s="96"/>
      <c r="F79" s="135"/>
      <c r="G79" s="135"/>
      <c r="H79" s="155"/>
      <c r="J79" s="152"/>
      <c r="L79" s="156" t="s">
        <v>17</v>
      </c>
      <c r="N79" s="142"/>
      <c r="O79" s="143">
        <f>Invoerenduet!$C$13</f>
        <v>0</v>
      </c>
      <c r="P79" s="157"/>
    </row>
    <row r="80" spans="1:10" ht="18.75" customHeight="1">
      <c r="A80" s="135"/>
      <c r="B80" s="135"/>
      <c r="C80" s="135"/>
      <c r="F80" s="135"/>
      <c r="G80" s="135"/>
      <c r="H80" s="147"/>
      <c r="I80" s="156"/>
      <c r="J80" s="152"/>
    </row>
    <row r="81" spans="1:16" ht="18.75" customHeight="1">
      <c r="A81" s="155">
        <f>Invoerenduet!$B$14</f>
        <v>4</v>
      </c>
      <c r="B81" s="161">
        <f>Invoerenduet!$D$14</f>
        <v>0</v>
      </c>
      <c r="C81" s="125">
        <f>Invoerenduet!$Q$14</f>
        <v>0</v>
      </c>
      <c r="D81" s="126">
        <v>0.3</v>
      </c>
      <c r="E81" s="162">
        <f>Invoerenduet!$AB$14</f>
        <v>0</v>
      </c>
      <c r="F81" s="162">
        <f>Invoerenduet!$AC$14</f>
        <v>0</v>
      </c>
      <c r="G81" s="162">
        <f>Invoerenduet!$AD$14</f>
        <v>0</v>
      </c>
      <c r="H81" s="163">
        <f>Invoerenduet!$AE$14</f>
        <v>0</v>
      </c>
      <c r="I81" s="163">
        <f>Invoerenduet!$AF$14</f>
        <v>0</v>
      </c>
      <c r="J81" s="136">
        <f>Invoerenduet!$AH$14</f>
        <v>0</v>
      </c>
      <c r="K81" s="130" t="s">
        <v>79</v>
      </c>
      <c r="L81" s="164" t="s">
        <v>80</v>
      </c>
      <c r="M81" s="165">
        <f>Invoerenduet!$C$1</f>
        <v>50</v>
      </c>
      <c r="N81" s="166" t="s">
        <v>81</v>
      </c>
      <c r="O81" s="167">
        <f>ROUND(Invoerenduet!$BX$14*Invoerenduet!$C$1/100,4)</f>
        <v>0</v>
      </c>
      <c r="P81" s="49">
        <f>Invoerenduet!$BY$14</f>
      </c>
    </row>
    <row r="82" spans="1:16" ht="18.75" customHeight="1">
      <c r="A82" s="135">
        <f>Invoerenduet!$I$14</f>
        <v>0</v>
      </c>
      <c r="B82" s="135">
        <f>Invoerenduet!$G$14</f>
        <v>0</v>
      </c>
      <c r="C82" s="135">
        <f>Invoerenduet!$H$14</f>
        <v>0</v>
      </c>
      <c r="D82" s="126">
        <v>0.4</v>
      </c>
      <c r="E82" s="127">
        <f>Invoerenduet!$AO$14</f>
        <v>0</v>
      </c>
      <c r="F82" s="127">
        <f>Invoerenduet!$AP$14</f>
        <v>0</v>
      </c>
      <c r="G82" s="127">
        <f>Invoerenduet!$AQ$14</f>
        <v>0</v>
      </c>
      <c r="H82" s="128">
        <f>Invoerenduet!$AR$14</f>
        <v>0</v>
      </c>
      <c r="I82" s="128">
        <f>Invoerenduet!$AS$14</f>
        <v>0</v>
      </c>
      <c r="J82" s="136">
        <f>Invoerenduet!$AU$14</f>
        <v>0</v>
      </c>
      <c r="K82" s="137" t="s">
        <v>82</v>
      </c>
      <c r="L82" s="138" t="s">
        <v>83</v>
      </c>
      <c r="M82" s="139">
        <f>Invoerenduet!$C$3</f>
        <v>0</v>
      </c>
      <c r="N82" s="140" t="s">
        <v>81</v>
      </c>
      <c r="O82" s="141">
        <f>ROUND(Invoerenduet!$S$14*Invoerenduet!$C$3/100,4)</f>
        <v>0</v>
      </c>
      <c r="P82" s="7">
        <f>Invoerenduet!$T$14</f>
      </c>
    </row>
    <row r="83" spans="1:11" ht="18.75" customHeight="1">
      <c r="A83" s="135">
        <f>Invoerenduet!$L$14</f>
        <v>0</v>
      </c>
      <c r="B83" s="135">
        <f>Invoerenduet!$J$14</f>
        <v>0</v>
      </c>
      <c r="C83" s="135">
        <f>Invoerenduet!$K$14</f>
        <v>0</v>
      </c>
      <c r="D83" s="126">
        <v>0.3</v>
      </c>
      <c r="E83" s="127">
        <f>Invoerenduet!$BB$14</f>
        <v>0</v>
      </c>
      <c r="F83" s="127">
        <f>Invoerenduet!$BC$14</f>
        <v>0</v>
      </c>
      <c r="G83" s="127">
        <f>Invoerenduet!$BD$14</f>
        <v>0</v>
      </c>
      <c r="H83" s="128">
        <f>Invoerenduet!$BE$14</f>
        <v>0</v>
      </c>
      <c r="I83" s="128">
        <f>Invoerenduet!$BF$14</f>
        <v>0</v>
      </c>
      <c r="J83" s="136">
        <f>Invoerenduet!$BH$14</f>
        <v>0</v>
      </c>
      <c r="K83" s="137" t="s">
        <v>84</v>
      </c>
    </row>
    <row r="84" spans="1:10" ht="18.75" customHeight="1">
      <c r="A84" s="135">
        <f>Invoerenduet!$O$14</f>
        <v>0</v>
      </c>
      <c r="B84" s="135">
        <f>Invoerenduet!$M$14</f>
        <v>0</v>
      </c>
      <c r="C84" s="135">
        <f>Invoerenduet!$N$14</f>
        <v>0</v>
      </c>
      <c r="F84" s="144"/>
      <c r="G84" s="144"/>
      <c r="H84" s="145"/>
      <c r="I84" s="145"/>
      <c r="J84" s="146">
        <f>SUM(J81:J83)</f>
        <v>0</v>
      </c>
    </row>
    <row r="85" spans="1:11" ht="18.75" customHeight="1">
      <c r="A85" s="135"/>
      <c r="B85" s="135"/>
      <c r="C85" s="135"/>
      <c r="F85" s="135"/>
      <c r="G85" s="135"/>
      <c r="H85" s="147"/>
      <c r="I85" s="148" t="s">
        <v>85</v>
      </c>
      <c r="J85" s="149">
        <f>Invoerenduet!$BK$14</f>
        <v>0</v>
      </c>
      <c r="K85" s="137" t="s">
        <v>86</v>
      </c>
    </row>
    <row r="86" spans="1:16" ht="18.75" customHeight="1">
      <c r="A86" s="135"/>
      <c r="B86" s="135" t="s">
        <v>19</v>
      </c>
      <c r="C86" s="135">
        <f>Invoerenduet!$E$14</f>
        <v>0</v>
      </c>
      <c r="D86" s="96"/>
      <c r="F86" s="135"/>
      <c r="G86" s="135"/>
      <c r="H86" s="147"/>
      <c r="I86" s="148" t="s">
        <v>5</v>
      </c>
      <c r="J86" s="152">
        <f>Invoerenduet!$BL$14</f>
        <v>0</v>
      </c>
      <c r="L86" s="142" t="s">
        <v>95</v>
      </c>
      <c r="M86" s="142">
        <f>Invoerenduet!$C$2</f>
        <v>50</v>
      </c>
      <c r="N86" s="153" t="s">
        <v>81</v>
      </c>
      <c r="O86" s="154">
        <f>Invoerenduet!$BN$14</f>
        <v>0</v>
      </c>
      <c r="P86" s="7">
        <f>Invoerenduet!$V$14</f>
      </c>
    </row>
    <row r="87" spans="1:16" ht="18.75" customHeight="1">
      <c r="A87" s="135"/>
      <c r="B87" s="135" t="s">
        <v>20</v>
      </c>
      <c r="C87" s="135">
        <f>Invoerenduet!$F$14</f>
        <v>0</v>
      </c>
      <c r="D87" s="96"/>
      <c r="F87" s="135"/>
      <c r="G87" s="135"/>
      <c r="H87" s="155"/>
      <c r="J87" s="152"/>
      <c r="L87" s="156" t="s">
        <v>17</v>
      </c>
      <c r="N87" s="142"/>
      <c r="O87" s="143">
        <f>Invoerenduet!$C$14</f>
        <v>0</v>
      </c>
      <c r="P87" s="157"/>
    </row>
    <row r="88" spans="1:10" ht="18.75" customHeight="1">
      <c r="A88" s="135"/>
      <c r="B88" s="135"/>
      <c r="C88" s="135"/>
      <c r="F88" s="135"/>
      <c r="G88" s="135"/>
      <c r="H88" s="147"/>
      <c r="I88" s="156"/>
      <c r="J88" s="152"/>
    </row>
    <row r="89" spans="1:16" ht="18.75" customHeight="1">
      <c r="A89" s="155">
        <f>Invoerenduet!$B$15</f>
        <v>4</v>
      </c>
      <c r="B89" s="161">
        <f>Invoerenduet!$D$15</f>
        <v>0</v>
      </c>
      <c r="C89" s="125">
        <f>Invoerenduet!$Q$15</f>
        <v>0</v>
      </c>
      <c r="D89" s="126">
        <v>0.3</v>
      </c>
      <c r="E89" s="162">
        <f>Invoerenduet!$AB$15</f>
        <v>0</v>
      </c>
      <c r="F89" s="162">
        <f>Invoerenduet!$AC$15</f>
        <v>0</v>
      </c>
      <c r="G89" s="162">
        <f>Invoerenduet!$AD$15</f>
        <v>0</v>
      </c>
      <c r="H89" s="163">
        <f>Invoerenduet!$AE$15</f>
        <v>0</v>
      </c>
      <c r="I89" s="163">
        <f>Invoerenduet!$AF$15</f>
        <v>0</v>
      </c>
      <c r="J89" s="136">
        <f>Invoerenduet!$AH$15</f>
        <v>0</v>
      </c>
      <c r="K89" s="130" t="s">
        <v>79</v>
      </c>
      <c r="L89" s="164" t="s">
        <v>80</v>
      </c>
      <c r="M89" s="165">
        <f>Invoerenduet!$C$1</f>
        <v>50</v>
      </c>
      <c r="N89" s="166" t="s">
        <v>81</v>
      </c>
      <c r="O89" s="167">
        <f>ROUND(Invoerenduet!$BX$15*Invoerenduet!$C$1/100,4)</f>
        <v>0</v>
      </c>
      <c r="P89" s="49">
        <f>Invoerenduet!$BY$15</f>
      </c>
    </row>
    <row r="90" spans="1:16" ht="18.75" customHeight="1">
      <c r="A90" s="135">
        <f>Invoerenduet!$I$15</f>
        <v>0</v>
      </c>
      <c r="B90" s="135">
        <f>Invoerenduet!$G$15</f>
        <v>0</v>
      </c>
      <c r="C90" s="135">
        <f>Invoerenduet!$H$15</f>
        <v>0</v>
      </c>
      <c r="D90" s="126">
        <v>0.4</v>
      </c>
      <c r="E90" s="127">
        <f>Invoerenduet!$AO$15</f>
        <v>0</v>
      </c>
      <c r="F90" s="127">
        <f>Invoerenduet!$AP$15</f>
        <v>0</v>
      </c>
      <c r="G90" s="127">
        <f>Invoerenduet!$AQ$15</f>
        <v>0</v>
      </c>
      <c r="H90" s="128">
        <f>Invoerenduet!$AR$15</f>
        <v>0</v>
      </c>
      <c r="I90" s="128">
        <f>Invoerenduet!$AS$15</f>
        <v>0</v>
      </c>
      <c r="J90" s="136">
        <f>Invoerenduet!$AU$15</f>
        <v>0</v>
      </c>
      <c r="K90" s="137" t="s">
        <v>82</v>
      </c>
      <c r="L90" s="138" t="s">
        <v>83</v>
      </c>
      <c r="M90" s="139">
        <f>Invoerenduet!$C$3</f>
        <v>0</v>
      </c>
      <c r="N90" s="140" t="s">
        <v>81</v>
      </c>
      <c r="O90" s="141">
        <f>ROUND(Invoerenduet!$S$15*Invoerenduet!$C$3/100,4)</f>
        <v>0</v>
      </c>
      <c r="P90" s="7">
        <f>Invoerenduet!$T$15</f>
      </c>
    </row>
    <row r="91" spans="1:11" ht="18.75" customHeight="1">
      <c r="A91" s="135">
        <f>Invoerenduet!$L$15</f>
        <v>0</v>
      </c>
      <c r="B91" s="135">
        <f>Invoerenduet!$J$15</f>
        <v>0</v>
      </c>
      <c r="C91" s="135">
        <f>Invoerenduet!$K$15</f>
        <v>0</v>
      </c>
      <c r="D91" s="126">
        <v>0.3</v>
      </c>
      <c r="E91" s="127">
        <f>Invoerenduet!$BB$15</f>
        <v>0</v>
      </c>
      <c r="F91" s="127">
        <f>Invoerenduet!$BC$15</f>
        <v>0</v>
      </c>
      <c r="G91" s="127">
        <f>Invoerenduet!$BD$15</f>
        <v>0</v>
      </c>
      <c r="H91" s="128">
        <f>Invoerenduet!$BE$15</f>
        <v>0</v>
      </c>
      <c r="I91" s="128">
        <f>Invoerenduet!$BF$15</f>
        <v>0</v>
      </c>
      <c r="J91" s="136">
        <f>Invoerenduet!$BH$15</f>
        <v>0</v>
      </c>
      <c r="K91" s="137" t="s">
        <v>84</v>
      </c>
    </row>
    <row r="92" spans="1:10" ht="18.75" customHeight="1">
      <c r="A92" s="135">
        <f>Invoerenduet!$O$15</f>
        <v>0</v>
      </c>
      <c r="B92" s="135">
        <f>Invoerenduet!$M$15</f>
        <v>0</v>
      </c>
      <c r="C92" s="135">
        <f>Invoerenduet!$N$15</f>
        <v>0</v>
      </c>
      <c r="F92" s="144"/>
      <c r="G92" s="144"/>
      <c r="H92" s="145"/>
      <c r="I92" s="145"/>
      <c r="J92" s="146">
        <f>SUM(J89:J91)</f>
        <v>0</v>
      </c>
    </row>
    <row r="93" spans="1:11" ht="18.75" customHeight="1">
      <c r="A93" s="135"/>
      <c r="B93" s="135"/>
      <c r="C93" s="135"/>
      <c r="F93" s="135"/>
      <c r="G93" s="135"/>
      <c r="H93" s="147"/>
      <c r="I93" s="148" t="s">
        <v>85</v>
      </c>
      <c r="J93" s="149">
        <f>Invoerenduet!$BK$15</f>
        <v>0</v>
      </c>
      <c r="K93" s="137" t="s">
        <v>86</v>
      </c>
    </row>
    <row r="94" spans="1:16" ht="18.75" customHeight="1">
      <c r="A94" s="135"/>
      <c r="B94" s="135" t="s">
        <v>19</v>
      </c>
      <c r="C94" s="135">
        <f>Invoerenduet!$E$15</f>
        <v>0</v>
      </c>
      <c r="D94" s="96"/>
      <c r="F94" s="135"/>
      <c r="G94" s="135"/>
      <c r="H94" s="147"/>
      <c r="I94" s="148" t="s">
        <v>5</v>
      </c>
      <c r="J94" s="152">
        <f>Invoerenduet!$BL$15</f>
        <v>0</v>
      </c>
      <c r="L94" s="142" t="s">
        <v>95</v>
      </c>
      <c r="M94" s="142">
        <f>Invoerenduet!$C$2</f>
        <v>50</v>
      </c>
      <c r="N94" s="153" t="s">
        <v>81</v>
      </c>
      <c r="O94" s="154">
        <f>Invoerenduet!$BN$15</f>
        <v>0</v>
      </c>
      <c r="P94" s="7">
        <f>Invoerenduet!$V$15</f>
      </c>
    </row>
    <row r="95" spans="1:16" ht="18.75" customHeight="1">
      <c r="A95" s="135"/>
      <c r="B95" s="135" t="s">
        <v>20</v>
      </c>
      <c r="C95" s="135">
        <f>Invoerenduet!$F$15</f>
        <v>0</v>
      </c>
      <c r="D95" s="96"/>
      <c r="F95" s="135"/>
      <c r="G95" s="135"/>
      <c r="H95" s="155"/>
      <c r="J95" s="152"/>
      <c r="L95" s="156" t="s">
        <v>17</v>
      </c>
      <c r="N95" s="142"/>
      <c r="O95" s="143">
        <f>Invoerenduet!$C$15</f>
        <v>0</v>
      </c>
      <c r="P95" s="157"/>
    </row>
    <row r="96" spans="1:10" ht="18.75" customHeight="1">
      <c r="A96" s="135"/>
      <c r="B96" s="135"/>
      <c r="C96" s="135"/>
      <c r="F96" s="135"/>
      <c r="G96" s="135"/>
      <c r="H96" s="147"/>
      <c r="I96" s="156"/>
      <c r="J96" s="152"/>
    </row>
    <row r="97" spans="1:16" ht="18.75" customHeight="1">
      <c r="A97" s="155">
        <f>Invoerenduet!$B$16</f>
        <v>4</v>
      </c>
      <c r="B97" s="161">
        <f>Invoerenduet!$D$16</f>
        <v>0</v>
      </c>
      <c r="C97" s="125">
        <f>Invoerenduet!$Q$16</f>
        <v>0</v>
      </c>
      <c r="D97" s="126">
        <v>0.3</v>
      </c>
      <c r="E97" s="162">
        <f>Invoerenduet!$AB$16</f>
        <v>0</v>
      </c>
      <c r="F97" s="162">
        <f>Invoerenduet!$AC$16</f>
        <v>0</v>
      </c>
      <c r="G97" s="162">
        <f>Invoerenduet!$AD$16</f>
        <v>0</v>
      </c>
      <c r="H97" s="163">
        <f>Invoerenduet!$AE$16</f>
        <v>0</v>
      </c>
      <c r="I97" s="163">
        <f>Invoerenduet!$AF$16</f>
        <v>0</v>
      </c>
      <c r="J97" s="136">
        <f>Invoerenduet!$AH$16</f>
        <v>0</v>
      </c>
      <c r="K97" s="130" t="s">
        <v>79</v>
      </c>
      <c r="L97" s="164" t="s">
        <v>80</v>
      </c>
      <c r="M97" s="165">
        <f>Invoerenduet!$C$1</f>
        <v>50</v>
      </c>
      <c r="N97" s="166" t="s">
        <v>81</v>
      </c>
      <c r="O97" s="167">
        <f>ROUND(Invoerenduet!$BX$16*Invoerenduet!$C$1/100,4)</f>
        <v>0</v>
      </c>
      <c r="P97" s="49">
        <f>Invoerenduet!$BY$16</f>
      </c>
    </row>
    <row r="98" spans="1:16" ht="18.75" customHeight="1">
      <c r="A98" s="135">
        <f>Invoerenduet!$I$16</f>
        <v>0</v>
      </c>
      <c r="B98" s="135">
        <f>Invoerenduet!$G$16</f>
        <v>0</v>
      </c>
      <c r="C98" s="135">
        <f>Invoerenduet!$H$16</f>
        <v>0</v>
      </c>
      <c r="D98" s="126">
        <v>0.4</v>
      </c>
      <c r="E98" s="127">
        <f>Invoerenduet!$AO$16</f>
        <v>0</v>
      </c>
      <c r="F98" s="127">
        <f>Invoerenduet!$AP$16</f>
        <v>0</v>
      </c>
      <c r="G98" s="127">
        <f>Invoerenduet!$AQ$16</f>
        <v>0</v>
      </c>
      <c r="H98" s="128">
        <f>Invoerenduet!$AR$16</f>
        <v>0</v>
      </c>
      <c r="I98" s="128">
        <f>Invoerenduet!$AS$16</f>
        <v>0</v>
      </c>
      <c r="J98" s="136">
        <f>Invoerenduet!$AU$16</f>
        <v>0</v>
      </c>
      <c r="K98" s="137" t="s">
        <v>82</v>
      </c>
      <c r="L98" s="138" t="s">
        <v>83</v>
      </c>
      <c r="M98" s="139">
        <f>Invoerenduet!$C$3</f>
        <v>0</v>
      </c>
      <c r="N98" s="140" t="s">
        <v>81</v>
      </c>
      <c r="O98" s="141">
        <f>ROUND(Invoerenduet!$S$16*Invoerenduet!$C$3/100,4)</f>
        <v>0</v>
      </c>
      <c r="P98" s="7">
        <f>Invoerenduet!$T$16</f>
      </c>
    </row>
    <row r="99" spans="1:11" ht="18.75" customHeight="1">
      <c r="A99" s="135">
        <f>Invoerenduet!$L$16</f>
        <v>0</v>
      </c>
      <c r="B99" s="135">
        <f>Invoerenduet!$J$16</f>
        <v>0</v>
      </c>
      <c r="C99" s="135">
        <f>Invoerenduet!$K$16</f>
        <v>0</v>
      </c>
      <c r="D99" s="126">
        <v>0.3</v>
      </c>
      <c r="E99" s="127">
        <f>Invoerenduet!$BB$16</f>
        <v>0</v>
      </c>
      <c r="F99" s="127">
        <f>Invoerenduet!$BC$16</f>
        <v>0</v>
      </c>
      <c r="G99" s="127">
        <f>Invoerenduet!$BD$16</f>
        <v>0</v>
      </c>
      <c r="H99" s="128">
        <f>Invoerenduet!$BE$16</f>
        <v>0</v>
      </c>
      <c r="I99" s="128">
        <f>Invoerenduet!$BF$16</f>
        <v>0</v>
      </c>
      <c r="J99" s="136">
        <f>Invoerenduet!$BH$16</f>
        <v>0</v>
      </c>
      <c r="K99" s="137" t="s">
        <v>84</v>
      </c>
    </row>
    <row r="100" spans="1:10" ht="18.75" customHeight="1">
      <c r="A100" s="135">
        <f>Invoerenduet!$O$16</f>
        <v>0</v>
      </c>
      <c r="B100" s="135">
        <f>Invoerenduet!$M$16</f>
        <v>0</v>
      </c>
      <c r="C100" s="135">
        <f>Invoerenduet!$N$16</f>
        <v>0</v>
      </c>
      <c r="F100" s="144"/>
      <c r="G100" s="144"/>
      <c r="H100" s="145"/>
      <c r="I100" s="145"/>
      <c r="J100" s="146">
        <f>SUM(J97:J99)</f>
        <v>0</v>
      </c>
    </row>
    <row r="101" spans="1:11" ht="18.75" customHeight="1">
      <c r="A101" s="135"/>
      <c r="B101" s="135"/>
      <c r="C101" s="135"/>
      <c r="F101" s="135"/>
      <c r="G101" s="135"/>
      <c r="H101" s="147"/>
      <c r="I101" s="148" t="s">
        <v>85</v>
      </c>
      <c r="J101" s="149">
        <f>Invoerenduet!$BK$16</f>
        <v>0</v>
      </c>
      <c r="K101" s="137" t="s">
        <v>86</v>
      </c>
    </row>
    <row r="102" spans="1:16" ht="18.75" customHeight="1">
      <c r="A102" s="135"/>
      <c r="B102" s="135" t="s">
        <v>19</v>
      </c>
      <c r="C102" s="135">
        <f>Invoerenduet!$E$16</f>
        <v>0</v>
      </c>
      <c r="D102" s="96"/>
      <c r="F102" s="135"/>
      <c r="G102" s="135"/>
      <c r="H102" s="147"/>
      <c r="I102" s="148" t="s">
        <v>5</v>
      </c>
      <c r="J102" s="152">
        <f>Invoerenduet!$BL$16</f>
        <v>0</v>
      </c>
      <c r="L102" s="142" t="s">
        <v>95</v>
      </c>
      <c r="M102" s="142">
        <f>Invoerenduet!$C$2</f>
        <v>50</v>
      </c>
      <c r="N102" s="153" t="s">
        <v>81</v>
      </c>
      <c r="O102" s="154">
        <f>Invoerenduet!$BN$16</f>
        <v>0</v>
      </c>
      <c r="P102" s="7">
        <f>Invoerenduet!$V$16</f>
      </c>
    </row>
    <row r="103" spans="1:16" ht="18.75" customHeight="1">
      <c r="A103" s="135"/>
      <c r="B103" s="135" t="s">
        <v>20</v>
      </c>
      <c r="C103" s="135">
        <f>Invoerenduet!$F$16</f>
        <v>0</v>
      </c>
      <c r="D103" s="96"/>
      <c r="F103" s="135"/>
      <c r="G103" s="135"/>
      <c r="H103" s="155"/>
      <c r="J103" s="152"/>
      <c r="L103" s="156" t="s">
        <v>17</v>
      </c>
      <c r="N103" s="142"/>
      <c r="O103" s="143">
        <f>Invoerenduet!$C$16</f>
        <v>0</v>
      </c>
      <c r="P103" s="157"/>
    </row>
    <row r="104" spans="1:10" ht="18.75" customHeight="1">
      <c r="A104" s="135"/>
      <c r="B104" s="135"/>
      <c r="C104" s="135"/>
      <c r="F104" s="135"/>
      <c r="G104" s="135"/>
      <c r="H104" s="147"/>
      <c r="I104" s="156"/>
      <c r="J104" s="152"/>
    </row>
    <row r="105" spans="1:16" ht="18.75" customHeight="1">
      <c r="A105" s="155">
        <f>Invoerenduet!$B$17</f>
        <v>4</v>
      </c>
      <c r="B105" s="161">
        <f>Invoerenduet!$D$17</f>
        <v>0</v>
      </c>
      <c r="C105" s="125">
        <f>Invoerenduet!$Q$17</f>
        <v>0</v>
      </c>
      <c r="D105" s="126">
        <v>0.3</v>
      </c>
      <c r="E105" s="162">
        <f>Invoerenduet!$AB$17</f>
        <v>0</v>
      </c>
      <c r="F105" s="162">
        <f>Invoerenduet!$AC$17</f>
        <v>0</v>
      </c>
      <c r="G105" s="162">
        <f>Invoerenduet!$AD$17</f>
        <v>0</v>
      </c>
      <c r="H105" s="163">
        <f>Invoerenduet!$AE$17</f>
        <v>0</v>
      </c>
      <c r="I105" s="163">
        <f>Invoerenduet!$AF$17</f>
        <v>0</v>
      </c>
      <c r="J105" s="136">
        <f>Invoerenduet!$AH$17</f>
        <v>0</v>
      </c>
      <c r="K105" s="130" t="s">
        <v>79</v>
      </c>
      <c r="L105" s="164" t="s">
        <v>80</v>
      </c>
      <c r="M105" s="165">
        <f>Invoerenduet!$C$1</f>
        <v>50</v>
      </c>
      <c r="N105" s="166" t="s">
        <v>81</v>
      </c>
      <c r="O105" s="167">
        <f>ROUND(Invoerenduet!$BX$17*Invoerenduet!$C$1/100,4)</f>
        <v>0</v>
      </c>
      <c r="P105" s="49">
        <f>Invoerenduet!$BY$17</f>
      </c>
    </row>
    <row r="106" spans="1:16" ht="18.75" customHeight="1">
      <c r="A106" s="135">
        <f>Invoerenduet!$I$17</f>
        <v>0</v>
      </c>
      <c r="B106" s="135">
        <f>Invoerenduet!$G$17</f>
        <v>0</v>
      </c>
      <c r="C106" s="135">
        <f>Invoerenduet!$H$17</f>
        <v>0</v>
      </c>
      <c r="D106" s="126">
        <v>0.4</v>
      </c>
      <c r="E106" s="127">
        <f>Invoerenduet!$AO$17</f>
        <v>0</v>
      </c>
      <c r="F106" s="127">
        <f>Invoerenduet!$AP$17</f>
        <v>0</v>
      </c>
      <c r="G106" s="127">
        <f>Invoerenduet!$AQ$17</f>
        <v>0</v>
      </c>
      <c r="H106" s="128">
        <f>Invoerenduet!$AR$17</f>
        <v>0</v>
      </c>
      <c r="I106" s="128">
        <f>Invoerenduet!$AS$17</f>
        <v>0</v>
      </c>
      <c r="J106" s="136">
        <f>Invoerenduet!$AU$17</f>
        <v>0</v>
      </c>
      <c r="K106" s="137" t="s">
        <v>82</v>
      </c>
      <c r="L106" s="138" t="s">
        <v>83</v>
      </c>
      <c r="M106" s="139">
        <f>Invoerenduet!$C$3</f>
        <v>0</v>
      </c>
      <c r="N106" s="140" t="s">
        <v>81</v>
      </c>
      <c r="O106" s="141">
        <f>ROUND(Invoerenduet!$S$17*Invoerenduet!$C$3/100,4)</f>
        <v>0</v>
      </c>
      <c r="P106" s="7">
        <f>Invoerenduet!$T$17</f>
      </c>
    </row>
    <row r="107" spans="1:11" ht="18.75" customHeight="1">
      <c r="A107" s="135">
        <f>Invoerenduet!$L$17</f>
        <v>0</v>
      </c>
      <c r="B107" s="135">
        <f>Invoerenduet!$J$17</f>
        <v>0</v>
      </c>
      <c r="C107" s="135">
        <f>Invoerenduet!$K$17</f>
        <v>0</v>
      </c>
      <c r="D107" s="126">
        <v>0.3</v>
      </c>
      <c r="E107" s="127">
        <f>Invoerenduet!$BB$17</f>
        <v>0</v>
      </c>
      <c r="F107" s="127">
        <f>Invoerenduet!$BC$17</f>
        <v>0</v>
      </c>
      <c r="G107" s="127">
        <f>Invoerenduet!$BD$17</f>
        <v>0</v>
      </c>
      <c r="H107" s="128">
        <f>Invoerenduet!$BE$17</f>
        <v>0</v>
      </c>
      <c r="I107" s="128">
        <f>Invoerenduet!$BF$17</f>
        <v>0</v>
      </c>
      <c r="J107" s="136">
        <f>Invoerenduet!$BH$17</f>
        <v>0</v>
      </c>
      <c r="K107" s="137" t="s">
        <v>84</v>
      </c>
    </row>
    <row r="108" spans="1:10" ht="18.75" customHeight="1">
      <c r="A108" s="135">
        <f>Invoerenduet!$O$17</f>
        <v>0</v>
      </c>
      <c r="B108" s="135">
        <f>Invoerenduet!$M$17</f>
        <v>0</v>
      </c>
      <c r="C108" s="135">
        <f>Invoerenduet!$N$17</f>
        <v>0</v>
      </c>
      <c r="F108" s="144"/>
      <c r="G108" s="144"/>
      <c r="H108" s="145"/>
      <c r="I108" s="145"/>
      <c r="J108" s="146">
        <f>SUM(J105:J107)</f>
        <v>0</v>
      </c>
    </row>
    <row r="109" spans="1:11" ht="18.75" customHeight="1">
      <c r="A109" s="135"/>
      <c r="B109" s="135"/>
      <c r="C109" s="135"/>
      <c r="F109" s="135"/>
      <c r="G109" s="135"/>
      <c r="H109" s="147"/>
      <c r="I109" s="148" t="s">
        <v>85</v>
      </c>
      <c r="J109" s="149">
        <f>Invoerenduet!$BK$17</f>
        <v>0</v>
      </c>
      <c r="K109" s="137" t="s">
        <v>86</v>
      </c>
    </row>
    <row r="110" spans="1:16" ht="18.75" customHeight="1">
      <c r="A110" s="135"/>
      <c r="B110" s="135" t="s">
        <v>19</v>
      </c>
      <c r="C110" s="135">
        <f>Invoerenduet!$E$17</f>
        <v>0</v>
      </c>
      <c r="D110" s="96"/>
      <c r="F110" s="135"/>
      <c r="G110" s="135"/>
      <c r="H110" s="147"/>
      <c r="I110" s="148" t="s">
        <v>5</v>
      </c>
      <c r="J110" s="152">
        <f>Invoerenduet!$BL$17</f>
        <v>0</v>
      </c>
      <c r="L110" s="142" t="s">
        <v>95</v>
      </c>
      <c r="M110" s="142">
        <f>Invoerenduet!$C$2</f>
        <v>50</v>
      </c>
      <c r="N110" s="153" t="s">
        <v>81</v>
      </c>
      <c r="O110" s="154">
        <f>Invoerenduet!$BN$17</f>
        <v>0</v>
      </c>
      <c r="P110" s="7">
        <f>Invoerenduet!$V$17</f>
      </c>
    </row>
    <row r="111" spans="1:16" ht="18.75" customHeight="1">
      <c r="A111" s="135"/>
      <c r="B111" s="135" t="s">
        <v>20</v>
      </c>
      <c r="C111" s="135">
        <f>Invoerenduet!$F$17</f>
        <v>0</v>
      </c>
      <c r="D111" s="96"/>
      <c r="F111" s="135"/>
      <c r="G111" s="135"/>
      <c r="H111" s="155"/>
      <c r="J111" s="152"/>
      <c r="L111" s="156" t="s">
        <v>17</v>
      </c>
      <c r="N111" s="142"/>
      <c r="O111" s="143">
        <f>Invoerenduet!$C$17</f>
        <v>0</v>
      </c>
      <c r="P111" s="157"/>
    </row>
    <row r="112" spans="1:10" ht="18.75" customHeight="1">
      <c r="A112" s="135"/>
      <c r="B112" s="135"/>
      <c r="C112" s="135"/>
      <c r="F112" s="135"/>
      <c r="G112" s="135"/>
      <c r="H112" s="147"/>
      <c r="I112" s="156"/>
      <c r="J112" s="152"/>
    </row>
    <row r="113" spans="1:16" ht="18.75" customHeight="1">
      <c r="A113" s="155">
        <f>Invoerenduet!$B$18</f>
        <v>4</v>
      </c>
      <c r="B113" s="161">
        <f>Invoerenduet!$D$18</f>
        <v>0</v>
      </c>
      <c r="C113" s="125">
        <f>Invoerenduet!$Q$18</f>
        <v>0</v>
      </c>
      <c r="D113" s="126">
        <v>0.3</v>
      </c>
      <c r="E113" s="162">
        <f>Invoerenduet!$AB$18</f>
        <v>0</v>
      </c>
      <c r="F113" s="162">
        <f>Invoerenduet!$AC$18</f>
        <v>0</v>
      </c>
      <c r="G113" s="162">
        <f>Invoerenduet!$AD$18</f>
        <v>0</v>
      </c>
      <c r="H113" s="163">
        <f>Invoerenduet!$AE$18</f>
        <v>0</v>
      </c>
      <c r="I113" s="163">
        <f>Invoerenduet!$AF$18</f>
        <v>0</v>
      </c>
      <c r="J113" s="136">
        <f>Invoerenduet!$AH$18</f>
        <v>0</v>
      </c>
      <c r="K113" s="130" t="s">
        <v>79</v>
      </c>
      <c r="L113" s="164" t="s">
        <v>80</v>
      </c>
      <c r="M113" s="165">
        <f>Invoerenduet!$C$1</f>
        <v>50</v>
      </c>
      <c r="N113" s="166" t="s">
        <v>81</v>
      </c>
      <c r="O113" s="167">
        <f>ROUND(Invoerenduet!$BX$18*Invoerenduet!$C$1/100,4)</f>
        <v>0</v>
      </c>
      <c r="P113" s="49">
        <f>Invoerenduet!$BY$18</f>
      </c>
    </row>
    <row r="114" spans="1:16" ht="18.75" customHeight="1">
      <c r="A114" s="135">
        <f>Invoerenduet!$I$18</f>
        <v>0</v>
      </c>
      <c r="B114" s="135">
        <f>Invoerenduet!$G$18</f>
        <v>0</v>
      </c>
      <c r="C114" s="135">
        <f>Invoerenduet!$H$18</f>
        <v>0</v>
      </c>
      <c r="D114" s="126">
        <v>0.4</v>
      </c>
      <c r="E114" s="127">
        <f>Invoerenduet!$AO$18</f>
        <v>0</v>
      </c>
      <c r="F114" s="127">
        <f>Invoerenduet!$AP$18</f>
        <v>0</v>
      </c>
      <c r="G114" s="127">
        <f>Invoerenduet!$AQ$18</f>
        <v>0</v>
      </c>
      <c r="H114" s="128">
        <f>Invoerenduet!$AR$18</f>
        <v>0</v>
      </c>
      <c r="I114" s="128">
        <f>Invoerenduet!$AS$18</f>
        <v>0</v>
      </c>
      <c r="J114" s="136">
        <f>Invoerenduet!$AU$18</f>
        <v>0</v>
      </c>
      <c r="K114" s="137" t="s">
        <v>82</v>
      </c>
      <c r="L114" s="138" t="s">
        <v>83</v>
      </c>
      <c r="M114" s="139">
        <f>Invoerenduet!$C$3</f>
        <v>0</v>
      </c>
      <c r="N114" s="140" t="s">
        <v>81</v>
      </c>
      <c r="O114" s="141">
        <f>ROUND(Invoerenduet!$S$18*Invoerenduet!$C$3/100,4)</f>
        <v>0</v>
      </c>
      <c r="P114" s="7">
        <f>Invoerenduet!$T$18</f>
      </c>
    </row>
    <row r="115" spans="1:11" ht="18.75" customHeight="1">
      <c r="A115" s="135">
        <f>Invoerenduet!$L$18</f>
        <v>0</v>
      </c>
      <c r="B115" s="135">
        <f>Invoerenduet!$J$18</f>
        <v>0</v>
      </c>
      <c r="C115" s="135">
        <f>Invoerenduet!$K$18</f>
        <v>0</v>
      </c>
      <c r="D115" s="126">
        <v>0.3</v>
      </c>
      <c r="E115" s="127">
        <f>Invoerenduet!$BB$18</f>
        <v>0</v>
      </c>
      <c r="F115" s="127">
        <f>Invoerenduet!$BC$18</f>
        <v>0</v>
      </c>
      <c r="G115" s="127">
        <f>Invoerenduet!$BD$18</f>
        <v>0</v>
      </c>
      <c r="H115" s="128">
        <f>Invoerenduet!$BE$18</f>
        <v>0</v>
      </c>
      <c r="I115" s="128">
        <f>Invoerenduet!$BF$18</f>
        <v>0</v>
      </c>
      <c r="J115" s="136">
        <f>Invoerenduet!$BH$18</f>
        <v>0</v>
      </c>
      <c r="K115" s="137" t="s">
        <v>84</v>
      </c>
    </row>
    <row r="116" spans="1:10" ht="18.75" customHeight="1">
      <c r="A116" s="135">
        <f>Invoerenduet!$O$18</f>
        <v>0</v>
      </c>
      <c r="B116" s="135">
        <f>Invoerenduet!$M$18</f>
        <v>0</v>
      </c>
      <c r="C116" s="135">
        <f>Invoerenduet!$N$18</f>
        <v>0</v>
      </c>
      <c r="F116" s="144"/>
      <c r="G116" s="144"/>
      <c r="H116" s="145"/>
      <c r="I116" s="145"/>
      <c r="J116" s="146">
        <f>SUM(J113:J115)</f>
        <v>0</v>
      </c>
    </row>
    <row r="117" spans="1:11" ht="18.75" customHeight="1">
      <c r="A117" s="135"/>
      <c r="B117" s="135"/>
      <c r="C117" s="135"/>
      <c r="F117" s="135"/>
      <c r="G117" s="135"/>
      <c r="H117" s="147"/>
      <c r="I117" s="148" t="s">
        <v>85</v>
      </c>
      <c r="J117" s="149">
        <f>Invoerenduet!$BK$18</f>
        <v>0</v>
      </c>
      <c r="K117" s="137" t="s">
        <v>86</v>
      </c>
    </row>
    <row r="118" spans="1:16" ht="18.75" customHeight="1">
      <c r="A118" s="135"/>
      <c r="B118" s="135" t="s">
        <v>19</v>
      </c>
      <c r="C118" s="135">
        <f>Invoerenduet!$E$18</f>
        <v>0</v>
      </c>
      <c r="D118" s="96"/>
      <c r="F118" s="135"/>
      <c r="G118" s="135"/>
      <c r="H118" s="147"/>
      <c r="I118" s="148" t="s">
        <v>5</v>
      </c>
      <c r="J118" s="152">
        <f>Invoerenduet!$BL$18</f>
        <v>0</v>
      </c>
      <c r="L118" s="142" t="s">
        <v>95</v>
      </c>
      <c r="M118" s="142">
        <f>Invoerenduet!$C$2</f>
        <v>50</v>
      </c>
      <c r="N118" s="153" t="s">
        <v>81</v>
      </c>
      <c r="O118" s="154">
        <f>Invoerenduet!$BN$18</f>
        <v>0</v>
      </c>
      <c r="P118" s="7">
        <f>Invoerenduet!$V$18</f>
      </c>
    </row>
    <row r="119" spans="1:16" ht="18.75" customHeight="1">
      <c r="A119" s="135"/>
      <c r="B119" s="135" t="s">
        <v>20</v>
      </c>
      <c r="C119" s="135">
        <f>Invoerenduet!$F$18</f>
        <v>0</v>
      </c>
      <c r="D119" s="96"/>
      <c r="F119" s="135"/>
      <c r="G119" s="135"/>
      <c r="H119" s="155"/>
      <c r="J119" s="152"/>
      <c r="L119" s="156" t="s">
        <v>17</v>
      </c>
      <c r="N119" s="142"/>
      <c r="O119" s="143">
        <f>Invoerenduet!$C$18</f>
        <v>0</v>
      </c>
      <c r="P119" s="157"/>
    </row>
    <row r="120" spans="1:10" ht="18.75" customHeight="1">
      <c r="A120" s="135"/>
      <c r="B120" s="135"/>
      <c r="C120" s="135"/>
      <c r="F120" s="135"/>
      <c r="G120" s="135"/>
      <c r="H120" s="147"/>
      <c r="I120" s="156"/>
      <c r="J120" s="152"/>
    </row>
    <row r="121" spans="1:16" ht="18.75" customHeight="1">
      <c r="A121" s="155">
        <f>Invoerenduet!$B$19</f>
        <v>4</v>
      </c>
      <c r="B121" s="161">
        <f>Invoerenduet!$D$19</f>
        <v>0</v>
      </c>
      <c r="C121" s="125">
        <f>Invoerenduet!$Q$19</f>
        <v>0</v>
      </c>
      <c r="D121" s="126">
        <v>0.3</v>
      </c>
      <c r="E121" s="162">
        <f>Invoerenduet!$AB$19</f>
        <v>0</v>
      </c>
      <c r="F121" s="162">
        <f>Invoerenduet!$AC$19</f>
        <v>0</v>
      </c>
      <c r="G121" s="162">
        <f>Invoerenduet!$AD$19</f>
        <v>0</v>
      </c>
      <c r="H121" s="163">
        <f>Invoerenduet!$AE$19</f>
        <v>0</v>
      </c>
      <c r="I121" s="163">
        <f>Invoerenduet!$AF$19</f>
        <v>0</v>
      </c>
      <c r="J121" s="136">
        <f>Invoerenduet!$AH$19</f>
        <v>0</v>
      </c>
      <c r="K121" s="130" t="s">
        <v>79</v>
      </c>
      <c r="L121" s="164" t="s">
        <v>80</v>
      </c>
      <c r="M121" s="165">
        <f>Invoerenduet!$C$1</f>
        <v>50</v>
      </c>
      <c r="N121" s="166" t="s">
        <v>81</v>
      </c>
      <c r="O121" s="167">
        <f>ROUND(Invoerenduet!$BX$19*Invoerenduet!$C$1/100,4)</f>
        <v>0</v>
      </c>
      <c r="P121" s="49">
        <f>Invoerenduet!$BY$19</f>
      </c>
    </row>
    <row r="122" spans="1:16" ht="18.75" customHeight="1">
      <c r="A122" s="135">
        <f>Invoerenduet!$I$19</f>
        <v>0</v>
      </c>
      <c r="B122" s="135">
        <f>Invoerenduet!$G$19</f>
        <v>0</v>
      </c>
      <c r="C122" s="135">
        <f>Invoerenduet!$H$19</f>
        <v>0</v>
      </c>
      <c r="D122" s="126">
        <v>0.4</v>
      </c>
      <c r="E122" s="127">
        <f>Invoerenduet!$AO$19</f>
        <v>0</v>
      </c>
      <c r="F122" s="127">
        <f>Invoerenduet!$AP$19</f>
        <v>0</v>
      </c>
      <c r="G122" s="127">
        <f>Invoerenduet!$AQ$19</f>
        <v>0</v>
      </c>
      <c r="H122" s="128">
        <f>Invoerenduet!$AR$19</f>
        <v>0</v>
      </c>
      <c r="I122" s="128">
        <f>Invoerenduet!$AS$19</f>
        <v>0</v>
      </c>
      <c r="J122" s="136">
        <f>Invoerenduet!$AU$19</f>
        <v>0</v>
      </c>
      <c r="K122" s="137" t="s">
        <v>82</v>
      </c>
      <c r="L122" s="138" t="s">
        <v>83</v>
      </c>
      <c r="M122" s="139">
        <f>Invoerenduet!$C$3</f>
        <v>0</v>
      </c>
      <c r="N122" s="140" t="s">
        <v>81</v>
      </c>
      <c r="O122" s="141">
        <f>ROUND(Invoerenduet!$S$19*Invoerenduet!$C$3/100,4)</f>
        <v>0</v>
      </c>
      <c r="P122" s="7">
        <f>Invoerenduet!$T$19</f>
      </c>
    </row>
    <row r="123" spans="1:11" ht="18.75" customHeight="1">
      <c r="A123" s="135">
        <f>Invoerenduet!$L$19</f>
        <v>0</v>
      </c>
      <c r="B123" s="135">
        <f>Invoerenduet!$J$19</f>
        <v>0</v>
      </c>
      <c r="C123" s="135">
        <f>Invoerenduet!$K$19</f>
        <v>0</v>
      </c>
      <c r="D123" s="126">
        <v>0.3</v>
      </c>
      <c r="E123" s="127">
        <f>Invoerenduet!$BB$19</f>
        <v>0</v>
      </c>
      <c r="F123" s="127">
        <f>Invoerenduet!$BC$19</f>
        <v>0</v>
      </c>
      <c r="G123" s="127">
        <f>Invoerenduet!$BD$19</f>
        <v>0</v>
      </c>
      <c r="H123" s="128">
        <f>Invoerenduet!$BE$19</f>
        <v>0</v>
      </c>
      <c r="I123" s="128">
        <f>Invoerenduet!$BF$19</f>
        <v>0</v>
      </c>
      <c r="J123" s="136">
        <f>Invoerenduet!$BH$19</f>
        <v>0</v>
      </c>
      <c r="K123" s="137" t="s">
        <v>84</v>
      </c>
    </row>
    <row r="124" spans="1:10" ht="18.75" customHeight="1">
      <c r="A124" s="135">
        <f>Invoerenduet!$O$19</f>
        <v>0</v>
      </c>
      <c r="B124" s="135">
        <f>Invoerenduet!$M$19</f>
        <v>0</v>
      </c>
      <c r="C124" s="135">
        <f>Invoerenduet!$N$19</f>
        <v>0</v>
      </c>
      <c r="F124" s="144"/>
      <c r="G124" s="144"/>
      <c r="H124" s="145"/>
      <c r="I124" s="145"/>
      <c r="J124" s="146">
        <f>SUM(J121:J123)</f>
        <v>0</v>
      </c>
    </row>
    <row r="125" spans="1:11" ht="18.75" customHeight="1">
      <c r="A125" s="135"/>
      <c r="B125" s="135"/>
      <c r="C125" s="135"/>
      <c r="F125" s="135"/>
      <c r="G125" s="135"/>
      <c r="H125" s="147"/>
      <c r="I125" s="148" t="s">
        <v>85</v>
      </c>
      <c r="J125" s="149">
        <f>Invoerenduet!$BK$19</f>
        <v>0</v>
      </c>
      <c r="K125" s="137" t="s">
        <v>86</v>
      </c>
    </row>
    <row r="126" spans="1:16" ht="18.75" customHeight="1">
      <c r="A126" s="135"/>
      <c r="B126" s="135" t="s">
        <v>19</v>
      </c>
      <c r="C126" s="135">
        <f>Invoerenduet!$E$19</f>
        <v>0</v>
      </c>
      <c r="D126" s="96"/>
      <c r="F126" s="135"/>
      <c r="G126" s="135"/>
      <c r="H126" s="147"/>
      <c r="I126" s="148" t="s">
        <v>5</v>
      </c>
      <c r="J126" s="152">
        <f>Invoerenduet!$BL$19</f>
        <v>0</v>
      </c>
      <c r="L126" s="142" t="s">
        <v>95</v>
      </c>
      <c r="M126" s="142">
        <f>Invoerenduet!$C$2</f>
        <v>50</v>
      </c>
      <c r="N126" s="153" t="s">
        <v>81</v>
      </c>
      <c r="O126" s="154">
        <f>Invoerenduet!$BN$19</f>
        <v>0</v>
      </c>
      <c r="P126" s="7">
        <f>Invoerenduet!$V$19</f>
      </c>
    </row>
    <row r="127" spans="1:16" ht="18.75" customHeight="1">
      <c r="A127" s="135"/>
      <c r="B127" s="135" t="s">
        <v>20</v>
      </c>
      <c r="C127" s="135">
        <f>Invoerenduet!$F$19</f>
        <v>0</v>
      </c>
      <c r="D127" s="96"/>
      <c r="F127" s="135"/>
      <c r="G127" s="135"/>
      <c r="H127" s="155"/>
      <c r="J127" s="152"/>
      <c r="L127" s="156" t="s">
        <v>17</v>
      </c>
      <c r="N127" s="142"/>
      <c r="O127" s="143">
        <f>Invoerenduet!$C$19</f>
        <v>0</v>
      </c>
      <c r="P127" s="157"/>
    </row>
    <row r="128" spans="1:10" ht="18.75" customHeight="1">
      <c r="A128" s="135"/>
      <c r="B128" s="135"/>
      <c r="C128" s="135"/>
      <c r="F128" s="135"/>
      <c r="G128" s="135"/>
      <c r="H128" s="147"/>
      <c r="I128" s="156"/>
      <c r="J128" s="152"/>
    </row>
    <row r="129" spans="1:16" ht="18.75" customHeight="1">
      <c r="A129" s="155">
        <f>Invoerenduet!$B$20</f>
        <v>4</v>
      </c>
      <c r="B129" s="161">
        <f>Invoerenduet!$D$20</f>
        <v>0</v>
      </c>
      <c r="C129" s="125">
        <f>Invoerenduet!$Q$20</f>
        <v>0</v>
      </c>
      <c r="D129" s="126">
        <v>0.3</v>
      </c>
      <c r="E129" s="162">
        <f>Invoerenduet!$AB$20</f>
        <v>0</v>
      </c>
      <c r="F129" s="162">
        <f>Invoerenduet!$AC$20</f>
        <v>0</v>
      </c>
      <c r="G129" s="162">
        <f>Invoerenduet!$AD$20</f>
        <v>0</v>
      </c>
      <c r="H129" s="163">
        <f>Invoerenduet!$AE$20</f>
        <v>0</v>
      </c>
      <c r="I129" s="163">
        <f>Invoerenduet!$AF$20</f>
        <v>0</v>
      </c>
      <c r="J129" s="136">
        <f>Invoerenduet!$AH$20</f>
        <v>0</v>
      </c>
      <c r="K129" s="130" t="s">
        <v>79</v>
      </c>
      <c r="L129" s="164" t="s">
        <v>80</v>
      </c>
      <c r="M129" s="165">
        <f>Invoerenduet!$C$1</f>
        <v>50</v>
      </c>
      <c r="N129" s="166" t="s">
        <v>81</v>
      </c>
      <c r="O129" s="167">
        <f>ROUND(Invoerenduet!$BX$20*Invoerenduet!$C$1/100,4)</f>
        <v>0</v>
      </c>
      <c r="P129" s="49">
        <f>Invoerenduet!$BY$20</f>
      </c>
    </row>
    <row r="130" spans="1:16" ht="18.75" customHeight="1">
      <c r="A130" s="135">
        <f>Invoerenduet!$I$20</f>
        <v>0</v>
      </c>
      <c r="B130" s="135">
        <f>Invoerenduet!$G$20</f>
        <v>0</v>
      </c>
      <c r="C130" s="135">
        <f>Invoerenduet!$H$20</f>
        <v>0</v>
      </c>
      <c r="D130" s="126">
        <v>0.4</v>
      </c>
      <c r="E130" s="127">
        <f>Invoerenduet!$AO$20</f>
        <v>0</v>
      </c>
      <c r="F130" s="127">
        <f>Invoerenduet!$AP$20</f>
        <v>0</v>
      </c>
      <c r="G130" s="127">
        <f>Invoerenduet!$AQ$20</f>
        <v>0</v>
      </c>
      <c r="H130" s="128">
        <f>Invoerenduet!$AR$20</f>
        <v>0</v>
      </c>
      <c r="I130" s="128">
        <f>Invoerenduet!$AS$20</f>
        <v>0</v>
      </c>
      <c r="J130" s="136">
        <f>Invoerenduet!$AU$20</f>
        <v>0</v>
      </c>
      <c r="K130" s="137" t="s">
        <v>82</v>
      </c>
      <c r="L130" s="138" t="s">
        <v>83</v>
      </c>
      <c r="M130" s="139">
        <f>Invoerenduet!$C$3</f>
        <v>0</v>
      </c>
      <c r="N130" s="140" t="s">
        <v>81</v>
      </c>
      <c r="O130" s="141">
        <f>ROUND(Invoerenduet!$S$20*Invoerenduet!$C$3/100,4)</f>
        <v>0</v>
      </c>
      <c r="P130" s="7">
        <f>Invoerenduet!$T$20</f>
      </c>
    </row>
    <row r="131" spans="1:11" ht="18.75" customHeight="1">
      <c r="A131" s="135">
        <f>Invoerenduet!$L$20</f>
        <v>0</v>
      </c>
      <c r="B131" s="135">
        <f>Invoerenduet!$J$20</f>
        <v>0</v>
      </c>
      <c r="C131" s="135">
        <f>Invoerenduet!$K$20</f>
        <v>0</v>
      </c>
      <c r="D131" s="126">
        <v>0.3</v>
      </c>
      <c r="E131" s="127">
        <f>Invoerenduet!$BB$20</f>
        <v>0</v>
      </c>
      <c r="F131" s="127">
        <f>Invoerenduet!$BC$20</f>
        <v>0</v>
      </c>
      <c r="G131" s="127">
        <f>Invoerenduet!$BD$20</f>
        <v>0</v>
      </c>
      <c r="H131" s="128">
        <f>Invoerenduet!$BE$20</f>
        <v>0</v>
      </c>
      <c r="I131" s="128">
        <f>Invoerenduet!$BF$20</f>
        <v>0</v>
      </c>
      <c r="J131" s="136">
        <f>Invoerenduet!$BH$20</f>
        <v>0</v>
      </c>
      <c r="K131" s="137" t="s">
        <v>84</v>
      </c>
    </row>
    <row r="132" spans="1:10" ht="18.75" customHeight="1">
      <c r="A132" s="135">
        <f>Invoerenduet!$O$20</f>
        <v>0</v>
      </c>
      <c r="B132" s="135">
        <f>Invoerenduet!$M$20</f>
        <v>0</v>
      </c>
      <c r="C132" s="135">
        <f>Invoerenduet!$N$20</f>
        <v>0</v>
      </c>
      <c r="F132" s="144"/>
      <c r="G132" s="144"/>
      <c r="H132" s="145"/>
      <c r="I132" s="145"/>
      <c r="J132" s="146">
        <f>SUM(J129:J131)</f>
        <v>0</v>
      </c>
    </row>
    <row r="133" spans="1:11" ht="18.75" customHeight="1">
      <c r="A133" s="135"/>
      <c r="B133" s="135"/>
      <c r="C133" s="135"/>
      <c r="F133" s="135"/>
      <c r="G133" s="135"/>
      <c r="H133" s="147"/>
      <c r="I133" s="148" t="s">
        <v>85</v>
      </c>
      <c r="J133" s="149">
        <f>Invoerenduet!$BK$20</f>
        <v>0</v>
      </c>
      <c r="K133" s="137" t="s">
        <v>86</v>
      </c>
    </row>
    <row r="134" spans="1:16" ht="18.75" customHeight="1">
      <c r="A134" s="135"/>
      <c r="B134" s="135" t="s">
        <v>19</v>
      </c>
      <c r="C134" s="135">
        <f>Invoerenduet!$E$20</f>
        <v>0</v>
      </c>
      <c r="D134" s="96"/>
      <c r="F134" s="135"/>
      <c r="G134" s="135"/>
      <c r="H134" s="147"/>
      <c r="I134" s="148" t="s">
        <v>5</v>
      </c>
      <c r="J134" s="152">
        <f>Invoerenduet!$BL$20</f>
        <v>0</v>
      </c>
      <c r="L134" s="142" t="s">
        <v>95</v>
      </c>
      <c r="M134" s="142">
        <f>Invoerenduet!$C$2</f>
        <v>50</v>
      </c>
      <c r="N134" s="153" t="s">
        <v>81</v>
      </c>
      <c r="O134" s="154">
        <f>Invoerenduet!$BN$20</f>
        <v>0</v>
      </c>
      <c r="P134" s="7">
        <f>Invoerenduet!$V$20</f>
      </c>
    </row>
    <row r="135" spans="1:16" ht="18.75" customHeight="1">
      <c r="A135" s="135"/>
      <c r="B135" s="135" t="s">
        <v>20</v>
      </c>
      <c r="C135" s="135">
        <f>Invoerenduet!$F$20</f>
        <v>0</v>
      </c>
      <c r="D135" s="96"/>
      <c r="F135" s="135"/>
      <c r="G135" s="135"/>
      <c r="H135" s="155"/>
      <c r="J135" s="152"/>
      <c r="L135" s="156" t="s">
        <v>17</v>
      </c>
      <c r="N135" s="142"/>
      <c r="O135" s="143">
        <f>Invoerenduet!$C$20</f>
        <v>0</v>
      </c>
      <c r="P135" s="157"/>
    </row>
    <row r="136" spans="1:10" ht="18.75" customHeight="1">
      <c r="A136" s="135"/>
      <c r="B136" s="135"/>
      <c r="C136" s="135"/>
      <c r="F136" s="135"/>
      <c r="G136" s="135"/>
      <c r="H136" s="147"/>
      <c r="I136" s="156"/>
      <c r="J136" s="152"/>
    </row>
    <row r="137" spans="1:16" ht="18.75" customHeight="1">
      <c r="A137" s="155">
        <f>Invoerenduet!$B$21</f>
        <v>4</v>
      </c>
      <c r="B137" s="161">
        <f>Invoerenduet!$D$21</f>
        <v>0</v>
      </c>
      <c r="C137" s="125">
        <f>Invoerenduet!$Q$21</f>
        <v>0</v>
      </c>
      <c r="D137" s="126">
        <v>0.3</v>
      </c>
      <c r="E137" s="162">
        <f>Invoerenduet!$AB$21</f>
        <v>0</v>
      </c>
      <c r="F137" s="162">
        <f>Invoerenduet!$AC$21</f>
        <v>0</v>
      </c>
      <c r="G137" s="162">
        <f>Invoerenduet!$AD$21</f>
        <v>0</v>
      </c>
      <c r="H137" s="163">
        <f>Invoerenduet!$AE$21</f>
        <v>0</v>
      </c>
      <c r="I137" s="163">
        <f>Invoerenduet!$AF$21</f>
        <v>0</v>
      </c>
      <c r="J137" s="136">
        <f>Invoerenduet!$AH$21</f>
        <v>0</v>
      </c>
      <c r="K137" s="130" t="s">
        <v>79</v>
      </c>
      <c r="L137" s="164" t="s">
        <v>80</v>
      </c>
      <c r="M137" s="165">
        <f>Invoerenduet!$C$1</f>
        <v>50</v>
      </c>
      <c r="N137" s="166" t="s">
        <v>81</v>
      </c>
      <c r="O137" s="167">
        <f>ROUND(Invoerenduet!$BX$21*Invoerenduet!$C$1/100,4)</f>
        <v>0</v>
      </c>
      <c r="P137" s="49">
        <f>Invoerenduet!$BY$21</f>
      </c>
    </row>
    <row r="138" spans="1:16" ht="18.75" customHeight="1">
      <c r="A138" s="135">
        <f>Invoerenduet!$I$21</f>
        <v>0</v>
      </c>
      <c r="B138" s="135">
        <f>Invoerenduet!$G$21</f>
        <v>0</v>
      </c>
      <c r="C138" s="135">
        <f>Invoerenduet!$H$21</f>
        <v>0</v>
      </c>
      <c r="D138" s="126">
        <v>0.4</v>
      </c>
      <c r="E138" s="127">
        <f>Invoerenduet!$AO$21</f>
        <v>0</v>
      </c>
      <c r="F138" s="127">
        <f>Invoerenduet!$AP$21</f>
        <v>0</v>
      </c>
      <c r="G138" s="127">
        <f>Invoerenduet!$AQ$21</f>
        <v>0</v>
      </c>
      <c r="H138" s="128">
        <f>Invoerenduet!$AR$21</f>
        <v>0</v>
      </c>
      <c r="I138" s="128">
        <f>Invoerenduet!$AS$21</f>
        <v>0</v>
      </c>
      <c r="J138" s="136">
        <f>Invoerenduet!$AU$21</f>
        <v>0</v>
      </c>
      <c r="K138" s="137" t="s">
        <v>82</v>
      </c>
      <c r="L138" s="138" t="s">
        <v>83</v>
      </c>
      <c r="M138" s="139">
        <f>Invoerenduet!$C$3</f>
        <v>0</v>
      </c>
      <c r="N138" s="140" t="s">
        <v>81</v>
      </c>
      <c r="O138" s="141">
        <f>ROUND(Invoerenduet!$S$21*Invoerenduet!$C$3/100,4)</f>
        <v>0</v>
      </c>
      <c r="P138" s="7">
        <f>Invoerenduet!$T$21</f>
      </c>
    </row>
    <row r="139" spans="1:11" ht="18.75" customHeight="1">
      <c r="A139" s="135">
        <f>Invoerenduet!$L$21</f>
        <v>0</v>
      </c>
      <c r="B139" s="135">
        <f>Invoerenduet!$J$21</f>
        <v>0</v>
      </c>
      <c r="C139" s="135">
        <f>Invoerenduet!$K$21</f>
        <v>0</v>
      </c>
      <c r="D139" s="126">
        <v>0.3</v>
      </c>
      <c r="E139" s="127">
        <f>Invoerenduet!$BB$21</f>
        <v>0</v>
      </c>
      <c r="F139" s="127">
        <f>Invoerenduet!$BC$21</f>
        <v>0</v>
      </c>
      <c r="G139" s="127">
        <f>Invoerenduet!$BD$21</f>
        <v>0</v>
      </c>
      <c r="H139" s="128">
        <f>Invoerenduet!$BE$21</f>
        <v>0</v>
      </c>
      <c r="I139" s="128">
        <f>Invoerenduet!$BF$21</f>
        <v>0</v>
      </c>
      <c r="J139" s="136">
        <f>Invoerenduet!$BH$21</f>
        <v>0</v>
      </c>
      <c r="K139" s="137" t="s">
        <v>84</v>
      </c>
    </row>
    <row r="140" spans="1:10" ht="18.75" customHeight="1">
      <c r="A140" s="135">
        <f>Invoerenduet!$O$21</f>
        <v>0</v>
      </c>
      <c r="B140" s="135">
        <f>Invoerenduet!$M$21</f>
        <v>0</v>
      </c>
      <c r="C140" s="135">
        <f>Invoerenduet!$N$21</f>
        <v>0</v>
      </c>
      <c r="F140" s="144"/>
      <c r="G140" s="144"/>
      <c r="H140" s="145"/>
      <c r="I140" s="145"/>
      <c r="J140" s="146">
        <f>SUM(J137:J139)</f>
        <v>0</v>
      </c>
    </row>
    <row r="141" spans="1:11" ht="18.75" customHeight="1">
      <c r="A141" s="135"/>
      <c r="B141" s="135"/>
      <c r="C141" s="135"/>
      <c r="F141" s="135"/>
      <c r="G141" s="135"/>
      <c r="H141" s="147"/>
      <c r="I141" s="148" t="s">
        <v>85</v>
      </c>
      <c r="J141" s="149">
        <f>Invoerenduet!$BK$21</f>
        <v>0</v>
      </c>
      <c r="K141" s="137" t="s">
        <v>86</v>
      </c>
    </row>
    <row r="142" spans="1:16" ht="18.75" customHeight="1">
      <c r="A142" s="135"/>
      <c r="B142" s="135" t="s">
        <v>19</v>
      </c>
      <c r="C142" s="135">
        <f>Invoerenduet!$E$21</f>
        <v>0</v>
      </c>
      <c r="D142" s="96"/>
      <c r="F142" s="135"/>
      <c r="G142" s="135"/>
      <c r="H142" s="147"/>
      <c r="I142" s="148" t="s">
        <v>5</v>
      </c>
      <c r="J142" s="152">
        <f>Invoerenduet!$BL$21</f>
        <v>0</v>
      </c>
      <c r="L142" s="142" t="s">
        <v>95</v>
      </c>
      <c r="M142" s="142">
        <f>Invoerenduet!$C$2</f>
        <v>50</v>
      </c>
      <c r="N142" s="153" t="s">
        <v>81</v>
      </c>
      <c r="O142" s="154">
        <f>Invoerenduet!$BN$21</f>
        <v>0</v>
      </c>
      <c r="P142" s="7">
        <f>Invoerenduet!$V$21</f>
      </c>
    </row>
    <row r="143" spans="1:16" ht="18.75" customHeight="1">
      <c r="A143" s="135"/>
      <c r="B143" s="135" t="s">
        <v>20</v>
      </c>
      <c r="C143" s="135">
        <f>Invoerenduet!$F$21</f>
        <v>0</v>
      </c>
      <c r="D143" s="96"/>
      <c r="F143" s="135"/>
      <c r="G143" s="135"/>
      <c r="H143" s="155"/>
      <c r="J143" s="152"/>
      <c r="L143" s="156" t="s">
        <v>17</v>
      </c>
      <c r="N143" s="142"/>
      <c r="O143" s="143">
        <f>Invoerenduet!$C$21</f>
        <v>0</v>
      </c>
      <c r="P143" s="157"/>
    </row>
    <row r="144" spans="1:10" ht="18.75" customHeight="1">
      <c r="A144" s="135"/>
      <c r="B144" s="135"/>
      <c r="C144" s="135"/>
      <c r="F144" s="135"/>
      <c r="G144" s="135"/>
      <c r="H144" s="147"/>
      <c r="I144" s="156"/>
      <c r="J144" s="152"/>
    </row>
    <row r="145" spans="1:16" ht="18.75" customHeight="1">
      <c r="A145" s="155">
        <f>Invoerenduet!$B$22</f>
        <v>4</v>
      </c>
      <c r="B145" s="161">
        <f>Invoerenduet!$D$22</f>
        <v>0</v>
      </c>
      <c r="C145" s="125">
        <f>Invoerenduet!$Q$22</f>
        <v>0</v>
      </c>
      <c r="D145" s="126">
        <v>0.3</v>
      </c>
      <c r="E145" s="162">
        <f>Invoerenduet!$AB$22</f>
        <v>0</v>
      </c>
      <c r="F145" s="162">
        <f>Invoerenduet!$AC$22</f>
        <v>0</v>
      </c>
      <c r="G145" s="162">
        <f>Invoerenduet!$AD$22</f>
        <v>0</v>
      </c>
      <c r="H145" s="163">
        <f>Invoerenduet!$AE$22</f>
        <v>0</v>
      </c>
      <c r="I145" s="163">
        <f>Invoerenduet!$AF$22</f>
        <v>0</v>
      </c>
      <c r="J145" s="136">
        <f>Invoerenduet!$AH$22</f>
        <v>0</v>
      </c>
      <c r="K145" s="130" t="s">
        <v>79</v>
      </c>
      <c r="L145" s="164" t="s">
        <v>80</v>
      </c>
      <c r="M145" s="165">
        <f>Invoerenduet!$C$1</f>
        <v>50</v>
      </c>
      <c r="N145" s="166" t="s">
        <v>81</v>
      </c>
      <c r="O145" s="167">
        <f>ROUND(Invoerenduet!$BX$22*Invoerenduet!$C$1/100,4)</f>
        <v>0</v>
      </c>
      <c r="P145" s="49">
        <f>Invoerenduet!$BY$22</f>
      </c>
    </row>
    <row r="146" spans="1:16" ht="18.75" customHeight="1">
      <c r="A146" s="135">
        <f>Invoerenduet!$I$22</f>
        <v>0</v>
      </c>
      <c r="B146" s="135">
        <f>Invoerenduet!$G$22</f>
        <v>0</v>
      </c>
      <c r="C146" s="135">
        <f>Invoerenduet!$H$22</f>
        <v>0</v>
      </c>
      <c r="D146" s="126">
        <v>0.4</v>
      </c>
      <c r="E146" s="127">
        <f>Invoerenduet!$AO$22</f>
        <v>0</v>
      </c>
      <c r="F146" s="127">
        <f>Invoerenduet!$AP$22</f>
        <v>0</v>
      </c>
      <c r="G146" s="127">
        <f>Invoerenduet!$AQ$22</f>
        <v>0</v>
      </c>
      <c r="H146" s="128">
        <f>Invoerenduet!$AR$22</f>
        <v>0</v>
      </c>
      <c r="I146" s="128">
        <f>Invoerenduet!$AS$22</f>
        <v>0</v>
      </c>
      <c r="J146" s="136">
        <f>Invoerenduet!$AU$22</f>
        <v>0</v>
      </c>
      <c r="K146" s="137" t="s">
        <v>82</v>
      </c>
      <c r="L146" s="138" t="s">
        <v>83</v>
      </c>
      <c r="M146" s="139">
        <f>Invoerenduet!$C$3</f>
        <v>0</v>
      </c>
      <c r="N146" s="140" t="s">
        <v>81</v>
      </c>
      <c r="O146" s="141">
        <f>ROUND(Invoerenduet!$S$22*Invoerenduet!$C$3/100,4)</f>
        <v>0</v>
      </c>
      <c r="P146" s="7">
        <f>Invoerenduet!$T$22</f>
      </c>
    </row>
    <row r="147" spans="1:11" ht="18.75" customHeight="1">
      <c r="A147" s="135">
        <f>Invoerenduet!$L$22</f>
        <v>0</v>
      </c>
      <c r="B147" s="135">
        <f>Invoerenduet!$J$22</f>
        <v>0</v>
      </c>
      <c r="C147" s="135">
        <f>Invoerenduet!$K$22</f>
        <v>0</v>
      </c>
      <c r="D147" s="126">
        <v>0.3</v>
      </c>
      <c r="E147" s="127">
        <f>Invoerenduet!$BB$22</f>
        <v>0</v>
      </c>
      <c r="F147" s="127">
        <f>Invoerenduet!$BC$22</f>
        <v>0</v>
      </c>
      <c r="G147" s="127">
        <f>Invoerenduet!$BD$22</f>
        <v>0</v>
      </c>
      <c r="H147" s="128">
        <f>Invoerenduet!$BE$22</f>
        <v>0</v>
      </c>
      <c r="I147" s="128">
        <f>Invoerenduet!$BF$22</f>
        <v>0</v>
      </c>
      <c r="J147" s="136">
        <f>Invoerenduet!$BH$22</f>
        <v>0</v>
      </c>
      <c r="K147" s="137" t="s">
        <v>84</v>
      </c>
    </row>
    <row r="148" spans="1:10" ht="18.75" customHeight="1">
      <c r="A148" s="135">
        <f>Invoerenduet!$O$22</f>
        <v>0</v>
      </c>
      <c r="B148" s="135">
        <f>Invoerenduet!$M$22</f>
        <v>0</v>
      </c>
      <c r="C148" s="135">
        <f>Invoerenduet!$N$22</f>
        <v>0</v>
      </c>
      <c r="F148" s="144"/>
      <c r="G148" s="144"/>
      <c r="H148" s="145"/>
      <c r="I148" s="145"/>
      <c r="J148" s="146">
        <f>SUM(J145:J147)</f>
        <v>0</v>
      </c>
    </row>
    <row r="149" spans="1:11" ht="18.75" customHeight="1">
      <c r="A149" s="135"/>
      <c r="B149" s="135"/>
      <c r="C149" s="135"/>
      <c r="F149" s="135"/>
      <c r="G149" s="135"/>
      <c r="H149" s="147"/>
      <c r="I149" s="148" t="s">
        <v>85</v>
      </c>
      <c r="J149" s="149">
        <f>Invoerenduet!$BK$22</f>
        <v>0</v>
      </c>
      <c r="K149" s="137" t="s">
        <v>86</v>
      </c>
    </row>
    <row r="150" spans="1:16" ht="18.75" customHeight="1">
      <c r="A150" s="135"/>
      <c r="B150" s="135" t="s">
        <v>19</v>
      </c>
      <c r="C150" s="135">
        <f>Invoerenduet!$E$22</f>
        <v>0</v>
      </c>
      <c r="D150" s="96"/>
      <c r="F150" s="135"/>
      <c r="G150" s="135"/>
      <c r="H150" s="147"/>
      <c r="I150" s="148" t="s">
        <v>5</v>
      </c>
      <c r="J150" s="152">
        <f>Invoerenduet!$BL$22</f>
        <v>0</v>
      </c>
      <c r="L150" s="142" t="s">
        <v>95</v>
      </c>
      <c r="M150" s="142">
        <f>Invoerenduet!$C$2</f>
        <v>50</v>
      </c>
      <c r="N150" s="153" t="s">
        <v>81</v>
      </c>
      <c r="O150" s="154">
        <f>Invoerenduet!$BN$22</f>
        <v>0</v>
      </c>
      <c r="P150" s="7">
        <f>Invoerenduet!$V$22</f>
      </c>
    </row>
    <row r="151" spans="1:16" ht="18.75" customHeight="1">
      <c r="A151" s="135"/>
      <c r="B151" s="135" t="s">
        <v>20</v>
      </c>
      <c r="C151" s="135">
        <f>Invoerenduet!$F$22</f>
        <v>0</v>
      </c>
      <c r="D151" s="96"/>
      <c r="F151" s="135"/>
      <c r="G151" s="135"/>
      <c r="H151" s="155"/>
      <c r="J151" s="152"/>
      <c r="L151" s="156" t="s">
        <v>17</v>
      </c>
      <c r="N151" s="142"/>
      <c r="O151" s="143">
        <f>Invoerenduet!$C$22</f>
        <v>0</v>
      </c>
      <c r="P151" s="157"/>
    </row>
    <row r="152" spans="1:10" ht="18.75" customHeight="1">
      <c r="A152" s="135"/>
      <c r="B152" s="135"/>
      <c r="C152" s="135"/>
      <c r="F152" s="135"/>
      <c r="G152" s="135"/>
      <c r="H152" s="147"/>
      <c r="I152" s="156"/>
      <c r="J152" s="152"/>
    </row>
    <row r="153" spans="1:16" ht="18.75" customHeight="1">
      <c r="A153" s="155">
        <f>Invoerenduet!$B$23</f>
        <v>4</v>
      </c>
      <c r="B153" s="161">
        <f>Invoerenduet!$D$23</f>
        <v>0</v>
      </c>
      <c r="C153" s="125">
        <f>Invoerenduet!$Q$23</f>
        <v>0</v>
      </c>
      <c r="D153" s="126">
        <v>0.3</v>
      </c>
      <c r="E153" s="162">
        <f>Invoerenduet!$AB$23</f>
        <v>0</v>
      </c>
      <c r="F153" s="162">
        <f>Invoerenduet!$AC$23</f>
        <v>0</v>
      </c>
      <c r="G153" s="162">
        <f>Invoerenduet!$AD$23</f>
        <v>0</v>
      </c>
      <c r="H153" s="163">
        <f>Invoerenduet!$AE$23</f>
        <v>0</v>
      </c>
      <c r="I153" s="163">
        <f>Invoerenduet!$AF$23</f>
        <v>0</v>
      </c>
      <c r="J153" s="136">
        <f>Invoerenduet!$AH$23</f>
        <v>0</v>
      </c>
      <c r="K153" s="130" t="s">
        <v>79</v>
      </c>
      <c r="L153" s="164" t="s">
        <v>80</v>
      </c>
      <c r="M153" s="165">
        <f>Invoerenduet!$C$1</f>
        <v>50</v>
      </c>
      <c r="N153" s="166" t="s">
        <v>81</v>
      </c>
      <c r="O153" s="167">
        <f>ROUND(Invoerenduet!$BX$23*Invoerenduet!$C$1/100,4)</f>
        <v>0</v>
      </c>
      <c r="P153" s="49">
        <f>Invoerenduet!$BY$23</f>
      </c>
    </row>
    <row r="154" spans="1:16" ht="18.75" customHeight="1">
      <c r="A154" s="135">
        <f>Invoerenduet!$I$23</f>
        <v>0</v>
      </c>
      <c r="B154" s="135">
        <f>Invoerenduet!$G$23</f>
        <v>0</v>
      </c>
      <c r="C154" s="135">
        <f>Invoerenduet!$H$23</f>
        <v>0</v>
      </c>
      <c r="D154" s="126">
        <v>0.4</v>
      </c>
      <c r="E154" s="127">
        <f>Invoerenduet!$AO$23</f>
        <v>0</v>
      </c>
      <c r="F154" s="127">
        <f>Invoerenduet!$AP$23</f>
        <v>0</v>
      </c>
      <c r="G154" s="127">
        <f>Invoerenduet!$AQ$23</f>
        <v>0</v>
      </c>
      <c r="H154" s="128">
        <f>Invoerenduet!$AR$23</f>
        <v>0</v>
      </c>
      <c r="I154" s="128">
        <f>Invoerenduet!$AS$23</f>
        <v>0</v>
      </c>
      <c r="J154" s="136">
        <f>Invoerenduet!$AU$23</f>
        <v>0</v>
      </c>
      <c r="K154" s="137" t="s">
        <v>82</v>
      </c>
      <c r="L154" s="138" t="s">
        <v>83</v>
      </c>
      <c r="M154" s="139">
        <f>Invoerenduet!$C$3</f>
        <v>0</v>
      </c>
      <c r="N154" s="140" t="s">
        <v>81</v>
      </c>
      <c r="O154" s="141">
        <f>ROUND(Invoerenduet!$S$23*Invoerenduet!$C$3/100,4)</f>
        <v>0</v>
      </c>
      <c r="P154" s="7">
        <f>Invoerenduet!$T$23</f>
      </c>
    </row>
    <row r="155" spans="1:11" ht="18.75" customHeight="1">
      <c r="A155" s="135">
        <f>Invoerenduet!$L$23</f>
        <v>0</v>
      </c>
      <c r="B155" s="135">
        <f>Invoerenduet!$J$23</f>
        <v>0</v>
      </c>
      <c r="C155" s="135">
        <f>Invoerenduet!$K$23</f>
        <v>0</v>
      </c>
      <c r="D155" s="126">
        <v>0.3</v>
      </c>
      <c r="E155" s="127">
        <f>Invoerenduet!$BB$23</f>
        <v>0</v>
      </c>
      <c r="F155" s="127">
        <f>Invoerenduet!$BC$23</f>
        <v>0</v>
      </c>
      <c r="G155" s="127">
        <f>Invoerenduet!$BD$23</f>
        <v>0</v>
      </c>
      <c r="H155" s="128">
        <f>Invoerenduet!$BE$23</f>
        <v>0</v>
      </c>
      <c r="I155" s="128">
        <f>Invoerenduet!$BF$23</f>
        <v>0</v>
      </c>
      <c r="J155" s="136">
        <f>Invoerenduet!$BH$23</f>
        <v>0</v>
      </c>
      <c r="K155" s="137" t="s">
        <v>84</v>
      </c>
    </row>
    <row r="156" spans="1:10" ht="18.75" customHeight="1">
      <c r="A156" s="135">
        <f>Invoerenduet!$O$23</f>
        <v>0</v>
      </c>
      <c r="B156" s="135">
        <f>Invoerenduet!$M$23</f>
        <v>0</v>
      </c>
      <c r="C156" s="135">
        <f>Invoerenduet!$N$23</f>
        <v>0</v>
      </c>
      <c r="F156" s="144"/>
      <c r="G156" s="144"/>
      <c r="H156" s="145"/>
      <c r="I156" s="145"/>
      <c r="J156" s="146">
        <f>SUM(J153:J155)</f>
        <v>0</v>
      </c>
    </row>
    <row r="157" spans="1:11" ht="18.75" customHeight="1">
      <c r="A157" s="135"/>
      <c r="B157" s="135"/>
      <c r="C157" s="135"/>
      <c r="F157" s="135"/>
      <c r="G157" s="135"/>
      <c r="H157" s="147"/>
      <c r="I157" s="148" t="s">
        <v>85</v>
      </c>
      <c r="J157" s="149">
        <f>Invoerenduet!$BK$23</f>
        <v>0</v>
      </c>
      <c r="K157" s="137" t="s">
        <v>86</v>
      </c>
    </row>
    <row r="158" spans="1:16" ht="18.75" customHeight="1">
      <c r="A158" s="135"/>
      <c r="B158" s="135" t="s">
        <v>19</v>
      </c>
      <c r="C158" s="135">
        <f>Invoerenduet!$E$23</f>
        <v>0</v>
      </c>
      <c r="D158" s="96"/>
      <c r="F158" s="135"/>
      <c r="G158" s="135"/>
      <c r="H158" s="147"/>
      <c r="I158" s="148" t="s">
        <v>5</v>
      </c>
      <c r="J158" s="152">
        <f>Invoerenduet!$BL$23</f>
        <v>0</v>
      </c>
      <c r="L158" s="142" t="s">
        <v>95</v>
      </c>
      <c r="M158" s="142">
        <f>Invoerenduet!$C$2</f>
        <v>50</v>
      </c>
      <c r="N158" s="153" t="s">
        <v>81</v>
      </c>
      <c r="O158" s="154">
        <f>Invoerenduet!$BN$23</f>
        <v>0</v>
      </c>
      <c r="P158" s="7">
        <f>Invoerenduet!$V$23</f>
      </c>
    </row>
    <row r="159" spans="1:16" ht="18.75" customHeight="1">
      <c r="A159" s="135"/>
      <c r="B159" s="135" t="s">
        <v>20</v>
      </c>
      <c r="C159" s="135">
        <f>Invoerenduet!$F$23</f>
        <v>0</v>
      </c>
      <c r="D159" s="96"/>
      <c r="F159" s="135"/>
      <c r="G159" s="135"/>
      <c r="H159" s="155"/>
      <c r="J159" s="152"/>
      <c r="L159" s="156" t="s">
        <v>17</v>
      </c>
      <c r="N159" s="142"/>
      <c r="O159" s="143">
        <f>Invoerenduet!$C$23</f>
        <v>0</v>
      </c>
      <c r="P159" s="157"/>
    </row>
    <row r="160" spans="1:10" ht="18.75" customHeight="1">
      <c r="A160" s="135"/>
      <c r="B160" s="135"/>
      <c r="C160" s="135"/>
      <c r="F160" s="135"/>
      <c r="G160" s="135"/>
      <c r="H160" s="147"/>
      <c r="I160" s="156"/>
      <c r="J160" s="152"/>
    </row>
    <row r="161" spans="1:16" ht="18.75" customHeight="1">
      <c r="A161" s="155">
        <f>Invoerenduet!$B$24</f>
        <v>4</v>
      </c>
      <c r="B161" s="161">
        <f>Invoerenduet!$D$24</f>
        <v>0</v>
      </c>
      <c r="C161" s="125">
        <f>Invoerenduet!$Q$24</f>
        <v>0</v>
      </c>
      <c r="D161" s="126">
        <v>0.3</v>
      </c>
      <c r="E161" s="162">
        <f>Invoerenduet!$AB$24</f>
        <v>0</v>
      </c>
      <c r="F161" s="162">
        <f>Invoerenduet!$AC$24</f>
        <v>0</v>
      </c>
      <c r="G161" s="162">
        <f>Invoerenduet!$AD$24</f>
        <v>0</v>
      </c>
      <c r="H161" s="163">
        <f>Invoerenduet!$AE$24</f>
        <v>0</v>
      </c>
      <c r="I161" s="163">
        <f>Invoerenduet!$AF$24</f>
        <v>0</v>
      </c>
      <c r="J161" s="136">
        <f>Invoerenduet!$AH$24</f>
        <v>0</v>
      </c>
      <c r="K161" s="130" t="s">
        <v>79</v>
      </c>
      <c r="L161" s="164" t="s">
        <v>80</v>
      </c>
      <c r="M161" s="165">
        <f>Invoerenduet!$C$1</f>
        <v>50</v>
      </c>
      <c r="N161" s="166" t="s">
        <v>81</v>
      </c>
      <c r="O161" s="167">
        <f>ROUND(Invoerenduet!$BX$24*Invoerenduet!$C$1/100,4)</f>
        <v>0</v>
      </c>
      <c r="P161" s="49">
        <f>Invoerenduet!$BY$24</f>
      </c>
    </row>
    <row r="162" spans="1:16" ht="18.75" customHeight="1">
      <c r="A162" s="135">
        <f>Invoerenduet!$I$24</f>
        <v>0</v>
      </c>
      <c r="B162" s="135">
        <f>Invoerenduet!$G$24</f>
        <v>0</v>
      </c>
      <c r="C162" s="135">
        <f>Invoerenduet!$H$24</f>
        <v>0</v>
      </c>
      <c r="D162" s="126">
        <v>0.4</v>
      </c>
      <c r="E162" s="127">
        <f>Invoerenduet!$AO$24</f>
        <v>0</v>
      </c>
      <c r="F162" s="127">
        <f>Invoerenduet!$AP$24</f>
        <v>0</v>
      </c>
      <c r="G162" s="127">
        <f>Invoerenduet!$AQ$24</f>
        <v>0</v>
      </c>
      <c r="H162" s="128">
        <f>Invoerenduet!$AR$24</f>
        <v>0</v>
      </c>
      <c r="I162" s="128">
        <f>Invoerenduet!$AS$24</f>
        <v>0</v>
      </c>
      <c r="J162" s="136">
        <f>Invoerenduet!$AU$24</f>
        <v>0</v>
      </c>
      <c r="K162" s="137" t="s">
        <v>82</v>
      </c>
      <c r="L162" s="138" t="s">
        <v>83</v>
      </c>
      <c r="M162" s="139">
        <f>Invoerenduet!$C$3</f>
        <v>0</v>
      </c>
      <c r="N162" s="140" t="s">
        <v>81</v>
      </c>
      <c r="O162" s="141">
        <f>ROUND(Invoerenduet!$S$24*Invoerenduet!$C$3/100,4)</f>
        <v>0</v>
      </c>
      <c r="P162" s="7">
        <f>Invoerenduet!$T$24</f>
      </c>
    </row>
    <row r="163" spans="1:11" ht="18.75" customHeight="1">
      <c r="A163" s="135">
        <f>Invoerenduet!$L$24</f>
        <v>0</v>
      </c>
      <c r="B163" s="135">
        <f>Invoerenduet!$J$24</f>
        <v>0</v>
      </c>
      <c r="C163" s="135">
        <f>Invoerenduet!$K$24</f>
        <v>0</v>
      </c>
      <c r="D163" s="126">
        <v>0.3</v>
      </c>
      <c r="E163" s="127">
        <f>Invoerenduet!$BB$24</f>
        <v>0</v>
      </c>
      <c r="F163" s="127">
        <f>Invoerenduet!$BC$24</f>
        <v>0</v>
      </c>
      <c r="G163" s="127">
        <f>Invoerenduet!$BD$24</f>
        <v>0</v>
      </c>
      <c r="H163" s="128">
        <f>Invoerenduet!$BE$24</f>
        <v>0</v>
      </c>
      <c r="I163" s="128">
        <f>Invoerenduet!$BF$24</f>
        <v>0</v>
      </c>
      <c r="J163" s="136">
        <f>Invoerenduet!$BH$24</f>
        <v>0</v>
      </c>
      <c r="K163" s="137" t="s">
        <v>84</v>
      </c>
    </row>
    <row r="164" spans="1:10" ht="18.75" customHeight="1">
      <c r="A164" s="135">
        <f>Invoerenduet!$O$24</f>
        <v>0</v>
      </c>
      <c r="B164" s="135">
        <f>Invoerenduet!$M$24</f>
        <v>0</v>
      </c>
      <c r="C164" s="135">
        <f>Invoerenduet!$N$24</f>
        <v>0</v>
      </c>
      <c r="F164" s="144"/>
      <c r="G164" s="144"/>
      <c r="H164" s="145"/>
      <c r="I164" s="145"/>
      <c r="J164" s="146">
        <f>SUM(J161:J163)</f>
        <v>0</v>
      </c>
    </row>
    <row r="165" spans="1:11" ht="18.75" customHeight="1">
      <c r="A165" s="135"/>
      <c r="B165" s="135"/>
      <c r="C165" s="135"/>
      <c r="F165" s="135"/>
      <c r="G165" s="135"/>
      <c r="H165" s="147"/>
      <c r="I165" s="148" t="s">
        <v>85</v>
      </c>
      <c r="J165" s="149">
        <f>Invoerenduet!$BK$24</f>
        <v>0</v>
      </c>
      <c r="K165" s="137" t="s">
        <v>86</v>
      </c>
    </row>
    <row r="166" spans="1:16" ht="18.75" customHeight="1">
      <c r="A166" s="135"/>
      <c r="B166" s="135" t="s">
        <v>19</v>
      </c>
      <c r="C166" s="135">
        <f>Invoerenduet!$E$24</f>
        <v>0</v>
      </c>
      <c r="D166" s="96"/>
      <c r="F166" s="135"/>
      <c r="G166" s="135"/>
      <c r="H166" s="147"/>
      <c r="I166" s="148" t="s">
        <v>5</v>
      </c>
      <c r="J166" s="152">
        <f>Invoerenduet!$BL$24</f>
        <v>0</v>
      </c>
      <c r="L166" s="142" t="s">
        <v>95</v>
      </c>
      <c r="M166" s="142">
        <f>Invoerenduet!$C$2</f>
        <v>50</v>
      </c>
      <c r="N166" s="153" t="s">
        <v>81</v>
      </c>
      <c r="O166" s="154">
        <f>Invoerenduet!$BN$24</f>
        <v>0</v>
      </c>
      <c r="P166" s="7">
        <f>Invoerenduet!$V$24</f>
      </c>
    </row>
    <row r="167" spans="1:16" ht="18.75" customHeight="1">
      <c r="A167" s="135"/>
      <c r="B167" s="135" t="s">
        <v>20</v>
      </c>
      <c r="C167" s="135">
        <f>Invoerenduet!$F$24</f>
        <v>0</v>
      </c>
      <c r="D167" s="96"/>
      <c r="F167" s="135"/>
      <c r="G167" s="135"/>
      <c r="H167" s="155"/>
      <c r="J167" s="152"/>
      <c r="L167" s="156" t="s">
        <v>17</v>
      </c>
      <c r="N167" s="142"/>
      <c r="O167" s="143">
        <f>Invoerenduet!$C$24</f>
        <v>0</v>
      </c>
      <c r="P167" s="157"/>
    </row>
    <row r="168" spans="1:10" ht="18.75" customHeight="1">
      <c r="A168" s="135"/>
      <c r="B168" s="135"/>
      <c r="C168" s="135"/>
      <c r="F168" s="135"/>
      <c r="G168" s="135"/>
      <c r="H168" s="147"/>
      <c r="I168" s="156"/>
      <c r="J168" s="152"/>
    </row>
    <row r="169" spans="1:16" ht="18.75" customHeight="1">
      <c r="A169" s="155">
        <f>Invoerenduet!$B$25</f>
        <v>4</v>
      </c>
      <c r="B169" s="161">
        <f>Invoerenduet!$D$25</f>
        <v>0</v>
      </c>
      <c r="C169" s="125">
        <f>Invoerenduet!$Q$25</f>
        <v>0</v>
      </c>
      <c r="D169" s="126">
        <v>0.3</v>
      </c>
      <c r="E169" s="162">
        <f>Invoerenduet!$AB$25</f>
        <v>0</v>
      </c>
      <c r="F169" s="162">
        <f>Invoerenduet!$AC$25</f>
        <v>0</v>
      </c>
      <c r="G169" s="162">
        <f>Invoerenduet!$AD$25</f>
        <v>0</v>
      </c>
      <c r="H169" s="163">
        <f>Invoerenduet!$AE$25</f>
        <v>0</v>
      </c>
      <c r="I169" s="163">
        <f>Invoerenduet!$AF$25</f>
        <v>0</v>
      </c>
      <c r="J169" s="136">
        <f>Invoerenduet!$AH$25</f>
        <v>0</v>
      </c>
      <c r="K169" s="130" t="s">
        <v>79</v>
      </c>
      <c r="L169" s="164" t="s">
        <v>80</v>
      </c>
      <c r="M169" s="165">
        <f>Invoerenduet!$C$1</f>
        <v>50</v>
      </c>
      <c r="N169" s="166" t="s">
        <v>81</v>
      </c>
      <c r="O169" s="167">
        <f>ROUND(Invoerenduet!$BX$25*Invoerenduet!$C$1/100,4)</f>
        <v>0</v>
      </c>
      <c r="P169" s="49">
        <f>Invoerenduet!$BY$25</f>
      </c>
    </row>
    <row r="170" spans="1:16" ht="18.75" customHeight="1">
      <c r="A170" s="135">
        <f>Invoerenduet!$I$25</f>
        <v>0</v>
      </c>
      <c r="B170" s="135">
        <f>Invoerenduet!$G$25</f>
        <v>0</v>
      </c>
      <c r="C170" s="135">
        <f>Invoerenduet!$H$25</f>
        <v>0</v>
      </c>
      <c r="D170" s="126">
        <v>0.4</v>
      </c>
      <c r="E170" s="127">
        <f>Invoerenduet!$AO$25</f>
        <v>0</v>
      </c>
      <c r="F170" s="127">
        <f>Invoerenduet!$AP$25</f>
        <v>0</v>
      </c>
      <c r="G170" s="127">
        <f>Invoerenduet!$AQ$25</f>
        <v>0</v>
      </c>
      <c r="H170" s="128">
        <f>Invoerenduet!$AR$25</f>
        <v>0</v>
      </c>
      <c r="I170" s="128">
        <f>Invoerenduet!$AS$25</f>
        <v>0</v>
      </c>
      <c r="J170" s="136">
        <f>Invoerenduet!$AU$25</f>
        <v>0</v>
      </c>
      <c r="K170" s="137" t="s">
        <v>82</v>
      </c>
      <c r="L170" s="138" t="s">
        <v>83</v>
      </c>
      <c r="M170" s="139">
        <f>Invoerenduet!$C$3</f>
        <v>0</v>
      </c>
      <c r="N170" s="140" t="s">
        <v>81</v>
      </c>
      <c r="O170" s="141">
        <f>ROUND(Invoerenduet!$S$25*Invoerenduet!$C$3/100,4)</f>
        <v>0</v>
      </c>
      <c r="P170" s="7">
        <f>Invoerenduet!$T$25</f>
      </c>
    </row>
    <row r="171" spans="1:11" ht="18.75" customHeight="1">
      <c r="A171" s="135">
        <f>Invoerenduet!$L$25</f>
        <v>0</v>
      </c>
      <c r="B171" s="135">
        <f>Invoerenduet!$J$25</f>
        <v>0</v>
      </c>
      <c r="C171" s="135">
        <f>Invoerenduet!$K$25</f>
        <v>0</v>
      </c>
      <c r="D171" s="126">
        <v>0.3</v>
      </c>
      <c r="E171" s="127">
        <f>Invoerenduet!$BB$25</f>
        <v>0</v>
      </c>
      <c r="F171" s="127">
        <f>Invoerenduet!$BC$25</f>
        <v>0</v>
      </c>
      <c r="G171" s="127">
        <f>Invoerenduet!$BD$25</f>
        <v>0</v>
      </c>
      <c r="H171" s="128">
        <f>Invoerenduet!$BE$25</f>
        <v>0</v>
      </c>
      <c r="I171" s="128">
        <f>Invoerenduet!$BF$25</f>
        <v>0</v>
      </c>
      <c r="J171" s="136">
        <f>Invoerenduet!$BH$25</f>
        <v>0</v>
      </c>
      <c r="K171" s="137" t="s">
        <v>84</v>
      </c>
    </row>
    <row r="172" spans="1:10" ht="18.75" customHeight="1">
      <c r="A172" s="135">
        <f>Invoerenduet!$O$25</f>
        <v>0</v>
      </c>
      <c r="B172" s="135">
        <f>Invoerenduet!$M$25</f>
        <v>0</v>
      </c>
      <c r="C172" s="135">
        <f>Invoerenduet!$N$25</f>
        <v>0</v>
      </c>
      <c r="F172" s="144"/>
      <c r="G172" s="144"/>
      <c r="H172" s="145"/>
      <c r="I172" s="145"/>
      <c r="J172" s="146">
        <f>SUM(J169:J171)</f>
        <v>0</v>
      </c>
    </row>
    <row r="173" spans="1:11" ht="18.75" customHeight="1">
      <c r="A173" s="135"/>
      <c r="B173" s="135"/>
      <c r="C173" s="135"/>
      <c r="F173" s="135"/>
      <c r="G173" s="135"/>
      <c r="H173" s="147"/>
      <c r="I173" s="148" t="s">
        <v>85</v>
      </c>
      <c r="J173" s="149">
        <f>Invoerenduet!$BK$25</f>
        <v>0</v>
      </c>
      <c r="K173" s="137" t="s">
        <v>86</v>
      </c>
    </row>
    <row r="174" spans="1:16" ht="18.75" customHeight="1">
      <c r="A174" s="135"/>
      <c r="B174" s="135" t="s">
        <v>19</v>
      </c>
      <c r="C174" s="135">
        <f>Invoerenduet!$E$25</f>
        <v>0</v>
      </c>
      <c r="D174" s="96"/>
      <c r="F174" s="135"/>
      <c r="G174" s="135"/>
      <c r="H174" s="147"/>
      <c r="I174" s="148" t="s">
        <v>5</v>
      </c>
      <c r="J174" s="152">
        <f>Invoerenduet!$BL$25</f>
        <v>0</v>
      </c>
      <c r="L174" s="142" t="s">
        <v>95</v>
      </c>
      <c r="M174" s="142">
        <f>Invoerenduet!$C$2</f>
        <v>50</v>
      </c>
      <c r="N174" s="153" t="s">
        <v>81</v>
      </c>
      <c r="O174" s="154">
        <f>Invoerenduet!$BN$25</f>
        <v>0</v>
      </c>
      <c r="P174" s="7">
        <f>Invoerenduet!$V$25</f>
      </c>
    </row>
    <row r="175" spans="1:16" ht="18.75" customHeight="1">
      <c r="A175" s="135"/>
      <c r="B175" s="135" t="s">
        <v>20</v>
      </c>
      <c r="C175" s="135">
        <f>Invoerenduet!$F$25</f>
        <v>0</v>
      </c>
      <c r="D175" s="96"/>
      <c r="F175" s="135"/>
      <c r="G175" s="135"/>
      <c r="H175" s="155"/>
      <c r="J175" s="152"/>
      <c r="L175" s="156" t="s">
        <v>17</v>
      </c>
      <c r="N175" s="142"/>
      <c r="O175" s="143">
        <f>Invoerenduet!$C$25</f>
        <v>0</v>
      </c>
      <c r="P175" s="157"/>
    </row>
    <row r="176" spans="1:10" ht="18.75" customHeight="1">
      <c r="A176" s="135"/>
      <c r="B176" s="135"/>
      <c r="C176" s="135"/>
      <c r="F176" s="135"/>
      <c r="G176" s="135"/>
      <c r="H176" s="147"/>
      <c r="I176" s="156"/>
      <c r="J176" s="152"/>
    </row>
    <row r="177" spans="1:16" ht="18.75" customHeight="1">
      <c r="A177" s="155">
        <f>Invoerenduet!$B$26</f>
        <v>4</v>
      </c>
      <c r="B177" s="161">
        <f>Invoerenduet!$D$26</f>
        <v>0</v>
      </c>
      <c r="C177" s="125">
        <f>Invoerenduet!$Q$26</f>
        <v>0</v>
      </c>
      <c r="D177" s="126">
        <v>0.3</v>
      </c>
      <c r="E177" s="162">
        <f>Invoerenduet!$AB$26</f>
        <v>0</v>
      </c>
      <c r="F177" s="162">
        <f>Invoerenduet!$AC$26</f>
        <v>0</v>
      </c>
      <c r="G177" s="162">
        <f>Invoerenduet!$AD$26</f>
        <v>0</v>
      </c>
      <c r="H177" s="163">
        <f>Invoerenduet!$AE$26</f>
        <v>0</v>
      </c>
      <c r="I177" s="163">
        <f>Invoerenduet!$AF$26</f>
        <v>0</v>
      </c>
      <c r="J177" s="136">
        <f>Invoerenduet!$AH$26</f>
        <v>0</v>
      </c>
      <c r="K177" s="130" t="s">
        <v>79</v>
      </c>
      <c r="L177" s="164" t="s">
        <v>80</v>
      </c>
      <c r="M177" s="165">
        <f>Invoerenduet!$C$1</f>
        <v>50</v>
      </c>
      <c r="N177" s="166" t="s">
        <v>81</v>
      </c>
      <c r="O177" s="167">
        <f>ROUND(Invoerenduet!$BX$26*Invoerenduet!$C$1/100,4)</f>
        <v>0</v>
      </c>
      <c r="P177" s="49">
        <f>Invoerenduet!$BY$26</f>
      </c>
    </row>
    <row r="178" spans="1:16" ht="18.75" customHeight="1">
      <c r="A178" s="135">
        <f>Invoerenduet!$I$26</f>
        <v>0</v>
      </c>
      <c r="B178" s="135">
        <f>Invoerenduet!$G$26</f>
        <v>0</v>
      </c>
      <c r="C178" s="135">
        <f>Invoerenduet!$H$26</f>
        <v>0</v>
      </c>
      <c r="D178" s="126">
        <v>0.4</v>
      </c>
      <c r="E178" s="127">
        <f>Invoerenduet!$AO$26</f>
        <v>0</v>
      </c>
      <c r="F178" s="127">
        <f>Invoerenduet!$AP$26</f>
        <v>0</v>
      </c>
      <c r="G178" s="127">
        <f>Invoerenduet!$AQ$26</f>
        <v>0</v>
      </c>
      <c r="H178" s="128">
        <f>Invoerenduet!$AR$26</f>
        <v>0</v>
      </c>
      <c r="I178" s="128">
        <f>Invoerenduet!$AS$26</f>
        <v>0</v>
      </c>
      <c r="J178" s="136">
        <f>Invoerenduet!$AU$26</f>
        <v>0</v>
      </c>
      <c r="K178" s="137" t="s">
        <v>82</v>
      </c>
      <c r="L178" s="138" t="s">
        <v>83</v>
      </c>
      <c r="M178" s="139">
        <f>Invoerenduet!$C$3</f>
        <v>0</v>
      </c>
      <c r="N178" s="140" t="s">
        <v>81</v>
      </c>
      <c r="O178" s="141">
        <f>ROUND(Invoerenduet!$S$26*Invoerenduet!$C$3/100,4)</f>
        <v>0</v>
      </c>
      <c r="P178" s="7">
        <f>Invoerenduet!$T$26</f>
      </c>
    </row>
    <row r="179" spans="1:11" ht="18.75" customHeight="1">
      <c r="A179" s="135">
        <f>Invoerenduet!$L$26</f>
        <v>0</v>
      </c>
      <c r="B179" s="135">
        <f>Invoerenduet!$J$26</f>
        <v>0</v>
      </c>
      <c r="C179" s="135">
        <f>Invoerenduet!$K$26</f>
        <v>0</v>
      </c>
      <c r="D179" s="126">
        <v>0.3</v>
      </c>
      <c r="E179" s="127">
        <f>Invoerenduet!$BB$26</f>
        <v>0</v>
      </c>
      <c r="F179" s="127">
        <f>Invoerenduet!$BC$26</f>
        <v>0</v>
      </c>
      <c r="G179" s="127">
        <f>Invoerenduet!$BD$26</f>
        <v>0</v>
      </c>
      <c r="H179" s="128">
        <f>Invoerenduet!$BE$26</f>
        <v>0</v>
      </c>
      <c r="I179" s="128">
        <f>Invoerenduet!$BF$26</f>
        <v>0</v>
      </c>
      <c r="J179" s="136">
        <f>Invoerenduet!$BH$26</f>
        <v>0</v>
      </c>
      <c r="K179" s="137" t="s">
        <v>84</v>
      </c>
    </row>
    <row r="180" spans="1:10" ht="18.75" customHeight="1">
      <c r="A180" s="135">
        <f>Invoerenduet!$O$26</f>
        <v>0</v>
      </c>
      <c r="B180" s="135">
        <f>Invoerenduet!$M$26</f>
        <v>0</v>
      </c>
      <c r="C180" s="135">
        <f>Invoerenduet!$N$26</f>
        <v>0</v>
      </c>
      <c r="F180" s="144"/>
      <c r="G180" s="144"/>
      <c r="H180" s="145"/>
      <c r="I180" s="145"/>
      <c r="J180" s="146">
        <f>SUM(J177:J179)</f>
        <v>0</v>
      </c>
    </row>
    <row r="181" spans="1:11" ht="18.75" customHeight="1">
      <c r="A181" s="135"/>
      <c r="B181" s="135"/>
      <c r="C181" s="135"/>
      <c r="F181" s="135"/>
      <c r="G181" s="135"/>
      <c r="H181" s="147"/>
      <c r="I181" s="148" t="s">
        <v>85</v>
      </c>
      <c r="J181" s="149">
        <f>Invoerenduet!$BK$26</f>
        <v>0</v>
      </c>
      <c r="K181" s="137" t="s">
        <v>86</v>
      </c>
    </row>
    <row r="182" spans="1:16" ht="18.75" customHeight="1">
      <c r="A182" s="135"/>
      <c r="B182" s="135" t="s">
        <v>19</v>
      </c>
      <c r="C182" s="135">
        <f>Invoerenduet!$E$26</f>
        <v>0</v>
      </c>
      <c r="D182" s="96"/>
      <c r="F182" s="135"/>
      <c r="G182" s="135"/>
      <c r="H182" s="147"/>
      <c r="I182" s="148" t="s">
        <v>5</v>
      </c>
      <c r="J182" s="152">
        <f>Invoerenduet!$BL$26</f>
        <v>0</v>
      </c>
      <c r="L182" s="142" t="s">
        <v>95</v>
      </c>
      <c r="M182" s="142">
        <f>Invoerenduet!$C$2</f>
        <v>50</v>
      </c>
      <c r="N182" s="153" t="s">
        <v>81</v>
      </c>
      <c r="O182" s="154">
        <f>Invoerenduet!$BN$26</f>
        <v>0</v>
      </c>
      <c r="P182" s="7">
        <f>Invoerenduet!$V$26</f>
      </c>
    </row>
    <row r="183" spans="1:16" ht="18.75" customHeight="1">
      <c r="A183" s="135"/>
      <c r="B183" s="135" t="s">
        <v>20</v>
      </c>
      <c r="C183" s="135">
        <f>Invoerenduet!$F$26</f>
        <v>0</v>
      </c>
      <c r="D183" s="96"/>
      <c r="F183" s="135"/>
      <c r="G183" s="135"/>
      <c r="H183" s="155"/>
      <c r="J183" s="152"/>
      <c r="L183" s="156" t="s">
        <v>17</v>
      </c>
      <c r="N183" s="142"/>
      <c r="O183" s="143">
        <f>Invoerenduet!$C$26</f>
        <v>0</v>
      </c>
      <c r="P183" s="157"/>
    </row>
    <row r="184" spans="1:10" ht="18.75" customHeight="1">
      <c r="A184" s="135"/>
      <c r="B184" s="135"/>
      <c r="C184" s="135"/>
      <c r="F184" s="135"/>
      <c r="G184" s="135"/>
      <c r="H184" s="147"/>
      <c r="I184" s="156"/>
      <c r="J184" s="152"/>
    </row>
    <row r="185" spans="1:16" ht="18.75" customHeight="1">
      <c r="A185" s="155">
        <f>Invoerenduet!$B$27</f>
        <v>4</v>
      </c>
      <c r="B185" s="161">
        <f>Invoerenduet!$D$27</f>
        <v>0</v>
      </c>
      <c r="C185" s="125">
        <f>Invoerenduet!$Q$27</f>
        <v>0</v>
      </c>
      <c r="D185" s="126">
        <v>0.3</v>
      </c>
      <c r="E185" s="162">
        <f>Invoerenduet!$AB$27</f>
        <v>0</v>
      </c>
      <c r="F185" s="162">
        <f>Invoerenduet!$AC$27</f>
        <v>0</v>
      </c>
      <c r="G185" s="162">
        <f>Invoerenduet!$AD$27</f>
        <v>0</v>
      </c>
      <c r="H185" s="163">
        <f>Invoerenduet!$AE$27</f>
        <v>0</v>
      </c>
      <c r="I185" s="163">
        <f>Invoerenduet!$AF$27</f>
        <v>0</v>
      </c>
      <c r="J185" s="136">
        <f>Invoerenduet!$AH$27</f>
        <v>0</v>
      </c>
      <c r="K185" s="130" t="s">
        <v>79</v>
      </c>
      <c r="L185" s="164" t="s">
        <v>80</v>
      </c>
      <c r="M185" s="165">
        <f>Invoerenduet!$C$1</f>
        <v>50</v>
      </c>
      <c r="N185" s="166" t="s">
        <v>81</v>
      </c>
      <c r="O185" s="167">
        <f>ROUND(Invoerenduet!$BX$27*Invoerenduet!$C$1/100,4)</f>
        <v>0</v>
      </c>
      <c r="P185" s="49">
        <f>Invoerenduet!$BY$27</f>
      </c>
    </row>
    <row r="186" spans="1:16" ht="18.75" customHeight="1">
      <c r="A186" s="135">
        <f>Invoerenduet!$I$27</f>
        <v>0</v>
      </c>
      <c r="B186" s="135">
        <f>Invoerenduet!$G$27</f>
        <v>0</v>
      </c>
      <c r="C186" s="135">
        <f>Invoerenduet!$H$27</f>
        <v>0</v>
      </c>
      <c r="D186" s="126">
        <v>0.4</v>
      </c>
      <c r="E186" s="127">
        <f>Invoerenduet!$AO$27</f>
        <v>0</v>
      </c>
      <c r="F186" s="127">
        <f>Invoerenduet!$AP$27</f>
        <v>0</v>
      </c>
      <c r="G186" s="127">
        <f>Invoerenduet!$AQ$27</f>
        <v>0</v>
      </c>
      <c r="H186" s="128">
        <f>Invoerenduet!$AR$27</f>
        <v>0</v>
      </c>
      <c r="I186" s="128">
        <f>Invoerenduet!$AS$27</f>
        <v>0</v>
      </c>
      <c r="J186" s="136">
        <f>Invoerenduet!$AU$27</f>
        <v>0</v>
      </c>
      <c r="K186" s="137" t="s">
        <v>82</v>
      </c>
      <c r="L186" s="138" t="s">
        <v>83</v>
      </c>
      <c r="M186" s="139">
        <f>Invoerenduet!$C$3</f>
        <v>0</v>
      </c>
      <c r="N186" s="140" t="s">
        <v>81</v>
      </c>
      <c r="O186" s="141">
        <f>ROUND(Invoerenduet!$S$27*Invoerenduet!$C$3/100,4)</f>
        <v>0</v>
      </c>
      <c r="P186" s="7">
        <f>Invoerenduet!$T$27</f>
      </c>
    </row>
    <row r="187" spans="1:11" ht="18.75" customHeight="1">
      <c r="A187" s="135">
        <f>Invoerenduet!$L$27</f>
        <v>0</v>
      </c>
      <c r="B187" s="135">
        <f>Invoerenduet!$J$27</f>
        <v>0</v>
      </c>
      <c r="C187" s="135">
        <f>Invoerenduet!$K$27</f>
        <v>0</v>
      </c>
      <c r="D187" s="126">
        <v>0.3</v>
      </c>
      <c r="E187" s="127">
        <f>Invoerenduet!$BB$27</f>
        <v>0</v>
      </c>
      <c r="F187" s="127">
        <f>Invoerenduet!$BC$27</f>
        <v>0</v>
      </c>
      <c r="G187" s="127">
        <f>Invoerenduet!$BD$27</f>
        <v>0</v>
      </c>
      <c r="H187" s="128">
        <f>Invoerenduet!$BE$27</f>
        <v>0</v>
      </c>
      <c r="I187" s="128">
        <f>Invoerenduet!$BF$27</f>
        <v>0</v>
      </c>
      <c r="J187" s="136">
        <f>Invoerenduet!$BH$27</f>
        <v>0</v>
      </c>
      <c r="K187" s="137" t="s">
        <v>84</v>
      </c>
    </row>
    <row r="188" spans="1:10" ht="18.75" customHeight="1">
      <c r="A188" s="135">
        <f>Invoerenduet!$O$27</f>
        <v>0</v>
      </c>
      <c r="B188" s="135">
        <f>Invoerenduet!$M$27</f>
        <v>0</v>
      </c>
      <c r="C188" s="135">
        <f>Invoerenduet!$N$27</f>
        <v>0</v>
      </c>
      <c r="F188" s="144"/>
      <c r="G188" s="144"/>
      <c r="H188" s="145"/>
      <c r="I188" s="145"/>
      <c r="J188" s="146">
        <f>SUM(J185:J187)</f>
        <v>0</v>
      </c>
    </row>
    <row r="189" spans="1:11" ht="18.75" customHeight="1">
      <c r="A189" s="135"/>
      <c r="B189" s="135"/>
      <c r="C189" s="135"/>
      <c r="F189" s="135"/>
      <c r="G189" s="135"/>
      <c r="H189" s="147"/>
      <c r="I189" s="148" t="s">
        <v>85</v>
      </c>
      <c r="J189" s="149">
        <f>Invoerenduet!$BK$27</f>
        <v>0</v>
      </c>
      <c r="K189" s="137" t="s">
        <v>86</v>
      </c>
    </row>
    <row r="190" spans="1:16" ht="18.75" customHeight="1">
      <c r="A190" s="135"/>
      <c r="B190" s="135" t="s">
        <v>19</v>
      </c>
      <c r="C190" s="135">
        <f>Invoerenduet!$E$27</f>
        <v>0</v>
      </c>
      <c r="D190" s="96"/>
      <c r="F190" s="135"/>
      <c r="G190" s="135"/>
      <c r="H190" s="147"/>
      <c r="I190" s="148" t="s">
        <v>5</v>
      </c>
      <c r="J190" s="152">
        <f>Invoerenduet!$BL$27</f>
        <v>0</v>
      </c>
      <c r="L190" s="142" t="s">
        <v>95</v>
      </c>
      <c r="M190" s="142">
        <f>Invoerenduet!$C$2</f>
        <v>50</v>
      </c>
      <c r="N190" s="153" t="s">
        <v>81</v>
      </c>
      <c r="O190" s="154">
        <f>Invoerenduet!$BN$27</f>
        <v>0</v>
      </c>
      <c r="P190" s="7">
        <f>Invoerenduet!$V$27</f>
      </c>
    </row>
    <row r="191" spans="1:16" ht="18.75" customHeight="1">
      <c r="A191" s="135"/>
      <c r="B191" s="135" t="s">
        <v>20</v>
      </c>
      <c r="C191" s="135">
        <f>Invoerenduet!$F$27</f>
        <v>0</v>
      </c>
      <c r="D191" s="96"/>
      <c r="F191" s="135"/>
      <c r="G191" s="135"/>
      <c r="H191" s="155"/>
      <c r="J191" s="152"/>
      <c r="L191" s="156" t="s">
        <v>17</v>
      </c>
      <c r="N191" s="142"/>
      <c r="O191" s="143">
        <f>Invoerenduet!$C$27</f>
        <v>0</v>
      </c>
      <c r="P191" s="157"/>
    </row>
    <row r="192" spans="1:10" ht="18.75" customHeight="1">
      <c r="A192" s="135"/>
      <c r="B192" s="135"/>
      <c r="C192" s="135"/>
      <c r="F192" s="135"/>
      <c r="G192" s="135"/>
      <c r="H192" s="147"/>
      <c r="I192" s="156"/>
      <c r="J192" s="152"/>
    </row>
    <row r="193" spans="1:16" ht="18.75" customHeight="1">
      <c r="A193" s="155">
        <f>Invoerenduet!$B$28</f>
        <v>4</v>
      </c>
      <c r="B193" s="161">
        <f>Invoerenduet!$D$28</f>
        <v>0</v>
      </c>
      <c r="C193" s="125">
        <f>Invoerenduet!$Q$28</f>
        <v>0</v>
      </c>
      <c r="D193" s="126">
        <v>0.3</v>
      </c>
      <c r="E193" s="162">
        <f>Invoerenduet!$AB$28</f>
        <v>0</v>
      </c>
      <c r="F193" s="162">
        <f>Invoerenduet!$AC$28</f>
        <v>0</v>
      </c>
      <c r="G193" s="162">
        <f>Invoerenduet!$AD$28</f>
        <v>0</v>
      </c>
      <c r="H193" s="163">
        <f>Invoerenduet!$AE$28</f>
        <v>0</v>
      </c>
      <c r="I193" s="163">
        <f>Invoerenduet!$AF$28</f>
        <v>0</v>
      </c>
      <c r="J193" s="136">
        <f>Invoerenduet!$AH$28</f>
        <v>0</v>
      </c>
      <c r="K193" s="130" t="s">
        <v>79</v>
      </c>
      <c r="L193" s="164" t="s">
        <v>80</v>
      </c>
      <c r="M193" s="165">
        <f>Invoerenduet!$C$1</f>
        <v>50</v>
      </c>
      <c r="N193" s="166" t="s">
        <v>81</v>
      </c>
      <c r="O193" s="167">
        <f>ROUND(Invoerenduet!$BX$28*Invoerenduet!$C$1/100,4)</f>
        <v>0</v>
      </c>
      <c r="P193" s="49">
        <f>Invoerenduet!$BY$28</f>
      </c>
    </row>
    <row r="194" spans="1:16" ht="18.75" customHeight="1">
      <c r="A194" s="135">
        <f>Invoerenduet!$I$28</f>
        <v>0</v>
      </c>
      <c r="B194" s="135">
        <f>Invoerenduet!$G$28</f>
        <v>0</v>
      </c>
      <c r="C194" s="135">
        <f>Invoerenduet!$H$28</f>
        <v>0</v>
      </c>
      <c r="D194" s="126">
        <v>0.4</v>
      </c>
      <c r="E194" s="127">
        <f>Invoerenduet!$AO$28</f>
        <v>0</v>
      </c>
      <c r="F194" s="127">
        <f>Invoerenduet!$AP$28</f>
        <v>0</v>
      </c>
      <c r="G194" s="127">
        <f>Invoerenduet!$AQ$28</f>
        <v>0</v>
      </c>
      <c r="H194" s="128">
        <f>Invoerenduet!$AR$28</f>
        <v>0</v>
      </c>
      <c r="I194" s="128">
        <f>Invoerenduet!$AS$28</f>
        <v>0</v>
      </c>
      <c r="J194" s="136">
        <f>Invoerenduet!$AU$28</f>
        <v>0</v>
      </c>
      <c r="K194" s="137" t="s">
        <v>82</v>
      </c>
      <c r="L194" s="138" t="s">
        <v>83</v>
      </c>
      <c r="M194" s="139">
        <f>Invoerenduet!$C$3</f>
        <v>0</v>
      </c>
      <c r="N194" s="140" t="s">
        <v>81</v>
      </c>
      <c r="O194" s="141">
        <f>ROUND(Invoerenduet!$S$28*Invoerenduet!$C$3/100,4)</f>
        <v>0</v>
      </c>
      <c r="P194" s="7">
        <f>Invoerenduet!$T$28</f>
      </c>
    </row>
    <row r="195" spans="1:11" ht="18.75" customHeight="1">
      <c r="A195" s="135">
        <f>Invoerenduet!$L$28</f>
        <v>0</v>
      </c>
      <c r="B195" s="135">
        <f>Invoerenduet!$J$28</f>
        <v>0</v>
      </c>
      <c r="C195" s="135">
        <f>Invoerenduet!$K$28</f>
        <v>0</v>
      </c>
      <c r="D195" s="126">
        <v>0.3</v>
      </c>
      <c r="E195" s="127">
        <f>Invoerenduet!$BB$28</f>
        <v>0</v>
      </c>
      <c r="F195" s="127">
        <f>Invoerenduet!$BC$28</f>
        <v>0</v>
      </c>
      <c r="G195" s="127">
        <f>Invoerenduet!$BD$28</f>
        <v>0</v>
      </c>
      <c r="H195" s="128">
        <f>Invoerenduet!$BE$28</f>
        <v>0</v>
      </c>
      <c r="I195" s="128">
        <f>Invoerenduet!$BF$28</f>
        <v>0</v>
      </c>
      <c r="J195" s="136">
        <f>Invoerenduet!$BH$28</f>
        <v>0</v>
      </c>
      <c r="K195" s="137" t="s">
        <v>84</v>
      </c>
    </row>
    <row r="196" spans="1:10" ht="18.75" customHeight="1">
      <c r="A196" s="135">
        <f>Invoerenduet!$O$28</f>
        <v>0</v>
      </c>
      <c r="B196" s="135">
        <f>Invoerenduet!$M$28</f>
        <v>0</v>
      </c>
      <c r="C196" s="135">
        <f>Invoerenduet!$N$28</f>
        <v>0</v>
      </c>
      <c r="F196" s="144"/>
      <c r="G196" s="144"/>
      <c r="H196" s="145"/>
      <c r="I196" s="145"/>
      <c r="J196" s="146">
        <f>SUM(J193:J195)</f>
        <v>0</v>
      </c>
    </row>
    <row r="197" spans="1:11" ht="18.75" customHeight="1">
      <c r="A197" s="135"/>
      <c r="B197" s="135"/>
      <c r="C197" s="135"/>
      <c r="F197" s="135"/>
      <c r="G197" s="135"/>
      <c r="H197" s="147"/>
      <c r="I197" s="148" t="s">
        <v>85</v>
      </c>
      <c r="J197" s="149">
        <f>Invoerenduet!$BK$28</f>
        <v>0</v>
      </c>
      <c r="K197" s="137" t="s">
        <v>86</v>
      </c>
    </row>
    <row r="198" spans="1:16" ht="18.75" customHeight="1">
      <c r="A198" s="135"/>
      <c r="B198" s="135" t="s">
        <v>19</v>
      </c>
      <c r="C198" s="135">
        <f>Invoerenduet!$E$28</f>
        <v>0</v>
      </c>
      <c r="D198" s="96"/>
      <c r="F198" s="135"/>
      <c r="G198" s="135"/>
      <c r="H198" s="147"/>
      <c r="I198" s="148" t="s">
        <v>5</v>
      </c>
      <c r="J198" s="152">
        <f>Invoerenduet!$BL$28</f>
        <v>0</v>
      </c>
      <c r="L198" s="142" t="s">
        <v>95</v>
      </c>
      <c r="M198" s="142">
        <f>Invoerenduet!$C$2</f>
        <v>50</v>
      </c>
      <c r="N198" s="153" t="s">
        <v>81</v>
      </c>
      <c r="O198" s="154">
        <f>Invoerenduet!$BN$28</f>
        <v>0</v>
      </c>
      <c r="P198" s="7">
        <f>Invoerenduet!$V$28</f>
      </c>
    </row>
    <row r="199" spans="1:16" ht="18.75" customHeight="1">
      <c r="A199" s="135"/>
      <c r="B199" s="135" t="s">
        <v>20</v>
      </c>
      <c r="C199" s="135">
        <f>Invoerenduet!$F$28</f>
        <v>0</v>
      </c>
      <c r="D199" s="96"/>
      <c r="F199" s="135"/>
      <c r="G199" s="135"/>
      <c r="H199" s="155"/>
      <c r="J199" s="152"/>
      <c r="L199" s="156" t="s">
        <v>17</v>
      </c>
      <c r="N199" s="142"/>
      <c r="O199" s="143">
        <f>Invoerenduet!$C$28</f>
        <v>0</v>
      </c>
      <c r="P199" s="157"/>
    </row>
    <row r="200" spans="1:10" ht="18.75" customHeight="1">
      <c r="A200" s="135"/>
      <c r="B200" s="135"/>
      <c r="C200" s="135"/>
      <c r="F200" s="135"/>
      <c r="G200" s="135"/>
      <c r="H200" s="147"/>
      <c r="I200" s="156"/>
      <c r="J200" s="152"/>
    </row>
    <row r="201" spans="1:16" ht="18.75" customHeight="1">
      <c r="A201" s="155">
        <f>Invoerenduet!$B$29</f>
        <v>4</v>
      </c>
      <c r="B201" s="161">
        <f>Invoerenduet!$D$29</f>
        <v>0</v>
      </c>
      <c r="C201" s="125">
        <f>Invoerenduet!$Q$29</f>
        <v>0</v>
      </c>
      <c r="D201" s="126">
        <v>0.3</v>
      </c>
      <c r="E201" s="162">
        <f>Invoerenduet!$AB$29</f>
        <v>0</v>
      </c>
      <c r="F201" s="162">
        <f>Invoerenduet!$AC$29</f>
        <v>0</v>
      </c>
      <c r="G201" s="162">
        <f>Invoerenduet!$AD$29</f>
        <v>0</v>
      </c>
      <c r="H201" s="163">
        <f>Invoerenduet!$AE$29</f>
        <v>0</v>
      </c>
      <c r="I201" s="163">
        <f>Invoerenduet!$AF$29</f>
        <v>0</v>
      </c>
      <c r="J201" s="136">
        <f>Invoerenduet!$AH$29</f>
        <v>0</v>
      </c>
      <c r="K201" s="130" t="s">
        <v>79</v>
      </c>
      <c r="L201" s="164" t="s">
        <v>80</v>
      </c>
      <c r="M201" s="165">
        <f>Invoerenduet!$C$1</f>
        <v>50</v>
      </c>
      <c r="N201" s="166" t="s">
        <v>81</v>
      </c>
      <c r="O201" s="167">
        <f>ROUND(Invoerenduet!$BX$29*Invoerenduet!$C$1/100,4)</f>
        <v>0</v>
      </c>
      <c r="P201" s="49">
        <f>Invoerenduet!$BY$29</f>
      </c>
    </row>
    <row r="202" spans="1:16" ht="18.75" customHeight="1">
      <c r="A202" s="135">
        <f>Invoerenduet!$I$29</f>
        <v>0</v>
      </c>
      <c r="B202" s="135">
        <f>Invoerenduet!$G$29</f>
        <v>0</v>
      </c>
      <c r="C202" s="135">
        <f>Invoerenduet!$H$29</f>
        <v>0</v>
      </c>
      <c r="D202" s="126">
        <v>0.4</v>
      </c>
      <c r="E202" s="127">
        <f>Invoerenduet!$AO$29</f>
        <v>0</v>
      </c>
      <c r="F202" s="127">
        <f>Invoerenduet!$AP$29</f>
        <v>0</v>
      </c>
      <c r="G202" s="127">
        <f>Invoerenduet!$AQ$29</f>
        <v>0</v>
      </c>
      <c r="H202" s="128">
        <f>Invoerenduet!$AR$29</f>
        <v>0</v>
      </c>
      <c r="I202" s="128">
        <f>Invoerenduet!$AS$29</f>
        <v>0</v>
      </c>
      <c r="J202" s="136">
        <f>Invoerenduet!$AU$29</f>
        <v>0</v>
      </c>
      <c r="K202" s="137" t="s">
        <v>82</v>
      </c>
      <c r="L202" s="138" t="s">
        <v>83</v>
      </c>
      <c r="M202" s="139">
        <f>Invoerenduet!$C$3</f>
        <v>0</v>
      </c>
      <c r="N202" s="140" t="s">
        <v>81</v>
      </c>
      <c r="O202" s="141">
        <f>ROUND(Invoerenduet!$S$29*Invoerenduet!$C$3/100,4)</f>
        <v>0</v>
      </c>
      <c r="P202" s="7">
        <f>Invoerenduet!$T$29</f>
      </c>
    </row>
    <row r="203" spans="1:11" ht="18.75" customHeight="1">
      <c r="A203" s="135">
        <f>Invoerenduet!$L$29</f>
        <v>0</v>
      </c>
      <c r="B203" s="135">
        <f>Invoerenduet!$J$29</f>
        <v>0</v>
      </c>
      <c r="C203" s="135">
        <f>Invoerenduet!$K$29</f>
        <v>0</v>
      </c>
      <c r="D203" s="126">
        <v>0.3</v>
      </c>
      <c r="E203" s="127">
        <f>Invoerenduet!$BB$29</f>
        <v>0</v>
      </c>
      <c r="F203" s="127">
        <f>Invoerenduet!$BC$29</f>
        <v>0</v>
      </c>
      <c r="G203" s="127">
        <f>Invoerenduet!$BD$29</f>
        <v>0</v>
      </c>
      <c r="H203" s="128">
        <f>Invoerenduet!$BE$29</f>
        <v>0</v>
      </c>
      <c r="I203" s="128">
        <f>Invoerenduet!$BF$29</f>
        <v>0</v>
      </c>
      <c r="J203" s="136">
        <f>Invoerenduet!$BH$29</f>
        <v>0</v>
      </c>
      <c r="K203" s="137" t="s">
        <v>84</v>
      </c>
    </row>
    <row r="204" spans="1:10" ht="18.75" customHeight="1">
      <c r="A204" s="135">
        <f>Invoerenduet!$O$29</f>
        <v>0</v>
      </c>
      <c r="B204" s="135">
        <f>Invoerenduet!$M$29</f>
        <v>0</v>
      </c>
      <c r="C204" s="135">
        <f>Invoerenduet!$N$29</f>
        <v>0</v>
      </c>
      <c r="F204" s="144"/>
      <c r="G204" s="144"/>
      <c r="H204" s="145"/>
      <c r="I204" s="145"/>
      <c r="J204" s="146">
        <f>SUM(J201:J203)</f>
        <v>0</v>
      </c>
    </row>
    <row r="205" spans="1:11" ht="18.75" customHeight="1">
      <c r="A205" s="135"/>
      <c r="B205" s="135"/>
      <c r="C205" s="135"/>
      <c r="F205" s="135"/>
      <c r="G205" s="135"/>
      <c r="H205" s="147"/>
      <c r="I205" s="148" t="s">
        <v>85</v>
      </c>
      <c r="J205" s="149">
        <f>Invoerenduet!$BK$29</f>
        <v>0</v>
      </c>
      <c r="K205" s="137" t="s">
        <v>86</v>
      </c>
    </row>
    <row r="206" spans="1:16" ht="18.75" customHeight="1">
      <c r="A206" s="135"/>
      <c r="B206" s="135" t="s">
        <v>19</v>
      </c>
      <c r="C206" s="135">
        <f>Invoerenduet!$E$29</f>
        <v>0</v>
      </c>
      <c r="D206" s="96"/>
      <c r="F206" s="135"/>
      <c r="G206" s="135"/>
      <c r="H206" s="147"/>
      <c r="I206" s="148" t="s">
        <v>5</v>
      </c>
      <c r="J206" s="152">
        <f>Invoerenduet!$BL$29</f>
        <v>0</v>
      </c>
      <c r="L206" s="142" t="s">
        <v>95</v>
      </c>
      <c r="M206" s="142">
        <f>Invoerenduet!$C$2</f>
        <v>50</v>
      </c>
      <c r="N206" s="153" t="s">
        <v>81</v>
      </c>
      <c r="O206" s="154">
        <f>Invoerenduet!$BN$29</f>
        <v>0</v>
      </c>
      <c r="P206" s="7">
        <f>Invoerenduet!$V$29</f>
      </c>
    </row>
    <row r="207" spans="1:16" ht="18.75" customHeight="1">
      <c r="A207" s="135"/>
      <c r="B207" s="135" t="s">
        <v>20</v>
      </c>
      <c r="C207" s="135">
        <f>Invoerenduet!$F$29</f>
        <v>0</v>
      </c>
      <c r="D207" s="96"/>
      <c r="F207" s="135"/>
      <c r="G207" s="135"/>
      <c r="H207" s="155"/>
      <c r="J207" s="152"/>
      <c r="L207" s="156" t="s">
        <v>17</v>
      </c>
      <c r="N207" s="142"/>
      <c r="O207" s="143">
        <f>Invoerenduet!$C$29</f>
        <v>0</v>
      </c>
      <c r="P207" s="157"/>
    </row>
    <row r="208" spans="1:10" ht="18.75" customHeight="1">
      <c r="A208" s="135"/>
      <c r="B208" s="135"/>
      <c r="C208" s="135"/>
      <c r="F208" s="135"/>
      <c r="G208" s="135"/>
      <c r="H208" s="147"/>
      <c r="I208" s="156"/>
      <c r="J208" s="152"/>
    </row>
    <row r="209" spans="1:16" ht="18.75" customHeight="1">
      <c r="A209" s="155">
        <f>Invoerenduet!$B$30</f>
        <v>4</v>
      </c>
      <c r="B209" s="161">
        <f>Invoerenduet!$D$30</f>
        <v>0</v>
      </c>
      <c r="C209" s="125">
        <f>Invoerenduet!$Q$30</f>
        <v>0</v>
      </c>
      <c r="D209" s="126">
        <v>0.3</v>
      </c>
      <c r="E209" s="162">
        <f>Invoerenduet!$AB$30</f>
        <v>0</v>
      </c>
      <c r="F209" s="162">
        <f>Invoerenduet!$AC$30</f>
        <v>0</v>
      </c>
      <c r="G209" s="162">
        <f>Invoerenduet!$AD$30</f>
        <v>0</v>
      </c>
      <c r="H209" s="163">
        <f>Invoerenduet!$AE$30</f>
        <v>0</v>
      </c>
      <c r="I209" s="163">
        <f>Invoerenduet!$AF$30</f>
        <v>0</v>
      </c>
      <c r="J209" s="136">
        <f>Invoerenduet!$AH$30</f>
        <v>0</v>
      </c>
      <c r="K209" s="130" t="s">
        <v>79</v>
      </c>
      <c r="L209" s="164" t="s">
        <v>80</v>
      </c>
      <c r="M209" s="165">
        <f>Invoerenduet!$C$1</f>
        <v>50</v>
      </c>
      <c r="N209" s="166" t="s">
        <v>81</v>
      </c>
      <c r="O209" s="167">
        <f>ROUND(Invoerenduet!$BX$30*Invoerenduet!$C$1/100,4)</f>
        <v>0</v>
      </c>
      <c r="P209" s="49">
        <f>Invoerenduet!$BY$30</f>
      </c>
    </row>
    <row r="210" spans="1:16" ht="18.75" customHeight="1">
      <c r="A210" s="135">
        <f>Invoerenduet!$I$30</f>
        <v>0</v>
      </c>
      <c r="B210" s="135">
        <f>Invoerenduet!$G$30</f>
        <v>0</v>
      </c>
      <c r="C210" s="135">
        <f>Invoerenduet!$H$30</f>
        <v>0</v>
      </c>
      <c r="D210" s="126">
        <v>0.4</v>
      </c>
      <c r="E210" s="127">
        <f>Invoerenduet!$AO$30</f>
        <v>0</v>
      </c>
      <c r="F210" s="127">
        <f>Invoerenduet!$AP$30</f>
        <v>0</v>
      </c>
      <c r="G210" s="127">
        <f>Invoerenduet!$AQ$30</f>
        <v>0</v>
      </c>
      <c r="H210" s="128">
        <f>Invoerenduet!$AR$30</f>
        <v>0</v>
      </c>
      <c r="I210" s="128">
        <f>Invoerenduet!$AS$30</f>
        <v>0</v>
      </c>
      <c r="J210" s="136">
        <f>Invoerenduet!$AU$30</f>
        <v>0</v>
      </c>
      <c r="K210" s="137" t="s">
        <v>82</v>
      </c>
      <c r="L210" s="138" t="s">
        <v>83</v>
      </c>
      <c r="M210" s="139">
        <f>Invoerenduet!$C$3</f>
        <v>0</v>
      </c>
      <c r="N210" s="140" t="s">
        <v>81</v>
      </c>
      <c r="O210" s="141">
        <f>ROUND(Invoerenduet!$S$30*Invoerenduet!$C$3/100,4)</f>
        <v>0</v>
      </c>
      <c r="P210" s="7">
        <f>Invoerenduet!$T$30</f>
      </c>
    </row>
    <row r="211" spans="1:11" ht="18.75" customHeight="1">
      <c r="A211" s="135">
        <f>Invoerenduet!$L$30</f>
        <v>0</v>
      </c>
      <c r="B211" s="135">
        <f>Invoerenduet!$J$30</f>
        <v>0</v>
      </c>
      <c r="C211" s="135">
        <f>Invoerenduet!$K$30</f>
        <v>0</v>
      </c>
      <c r="D211" s="126">
        <v>0.3</v>
      </c>
      <c r="E211" s="127">
        <f>Invoerenduet!$BB$30</f>
        <v>0</v>
      </c>
      <c r="F211" s="127">
        <f>Invoerenduet!$BC$30</f>
        <v>0</v>
      </c>
      <c r="G211" s="127">
        <f>Invoerenduet!$BD$30</f>
        <v>0</v>
      </c>
      <c r="H211" s="128">
        <f>Invoerenduet!$BE$30</f>
        <v>0</v>
      </c>
      <c r="I211" s="128">
        <f>Invoerenduet!$BF$30</f>
        <v>0</v>
      </c>
      <c r="J211" s="136">
        <f>Invoerenduet!$BH$30</f>
        <v>0</v>
      </c>
      <c r="K211" s="137" t="s">
        <v>84</v>
      </c>
    </row>
    <row r="212" spans="1:10" ht="18.75" customHeight="1">
      <c r="A212" s="135">
        <f>Invoerenduet!$O$30</f>
        <v>0</v>
      </c>
      <c r="B212" s="135">
        <f>Invoerenduet!$M$30</f>
        <v>0</v>
      </c>
      <c r="C212" s="135">
        <f>Invoerenduet!$N$30</f>
        <v>0</v>
      </c>
      <c r="F212" s="144"/>
      <c r="G212" s="144"/>
      <c r="H212" s="145"/>
      <c r="I212" s="145"/>
      <c r="J212" s="146">
        <f>SUM(J209:J211)</f>
        <v>0</v>
      </c>
    </row>
    <row r="213" spans="1:11" ht="18.75" customHeight="1">
      <c r="A213" s="135"/>
      <c r="B213" s="135"/>
      <c r="C213" s="135"/>
      <c r="F213" s="135"/>
      <c r="G213" s="135"/>
      <c r="H213" s="147"/>
      <c r="I213" s="148" t="s">
        <v>85</v>
      </c>
      <c r="J213" s="149">
        <f>Invoerenduet!$BK$30</f>
        <v>0</v>
      </c>
      <c r="K213" s="137" t="s">
        <v>86</v>
      </c>
    </row>
    <row r="214" spans="1:16" ht="18.75" customHeight="1">
      <c r="A214" s="135"/>
      <c r="B214" s="135" t="s">
        <v>19</v>
      </c>
      <c r="C214" s="135">
        <f>Invoerenduet!$E$30</f>
        <v>0</v>
      </c>
      <c r="D214" s="96"/>
      <c r="F214" s="135"/>
      <c r="G214" s="135"/>
      <c r="H214" s="147"/>
      <c r="I214" s="148" t="s">
        <v>5</v>
      </c>
      <c r="J214" s="152">
        <f>Invoerenduet!$BL$30</f>
        <v>0</v>
      </c>
      <c r="L214" s="142" t="s">
        <v>95</v>
      </c>
      <c r="M214" s="142">
        <f>Invoerenduet!$C$2</f>
        <v>50</v>
      </c>
      <c r="N214" s="153" t="s">
        <v>81</v>
      </c>
      <c r="O214" s="154">
        <f>Invoerenduet!$BN$30</f>
        <v>0</v>
      </c>
      <c r="P214" s="7">
        <f>Invoerenduet!$V$30</f>
      </c>
    </row>
    <row r="215" spans="1:16" ht="18.75" customHeight="1">
      <c r="A215" s="135"/>
      <c r="B215" s="135" t="s">
        <v>20</v>
      </c>
      <c r="C215" s="135">
        <f>Invoerenduet!$F$30</f>
        <v>0</v>
      </c>
      <c r="D215" s="96"/>
      <c r="F215" s="135"/>
      <c r="G215" s="135"/>
      <c r="H215" s="155"/>
      <c r="J215" s="152"/>
      <c r="L215" s="156" t="s">
        <v>17</v>
      </c>
      <c r="N215" s="142"/>
      <c r="O215" s="143">
        <f>Invoerenduet!$C$30</f>
        <v>0</v>
      </c>
      <c r="P215" s="157"/>
    </row>
    <row r="216" spans="1:10" ht="18.75" customHeight="1">
      <c r="A216" s="135"/>
      <c r="B216" s="135"/>
      <c r="C216" s="135"/>
      <c r="F216" s="135"/>
      <c r="G216" s="135"/>
      <c r="H216" s="147"/>
      <c r="I216" s="156"/>
      <c r="J216" s="152"/>
    </row>
    <row r="217" spans="1:16" ht="18.75" customHeight="1">
      <c r="A217" s="155">
        <f>Invoerenduet!$B$31</f>
        <v>4</v>
      </c>
      <c r="B217" s="161">
        <f>Invoerenduet!$D$31</f>
        <v>0</v>
      </c>
      <c r="C217" s="125">
        <f>Invoerenduet!$Q$31</f>
        <v>0</v>
      </c>
      <c r="D217" s="126">
        <v>0.3</v>
      </c>
      <c r="E217" s="162">
        <f>Invoerenduet!$AB$31</f>
        <v>0</v>
      </c>
      <c r="F217" s="162">
        <f>Invoerenduet!$AC$31</f>
        <v>0</v>
      </c>
      <c r="G217" s="162">
        <f>Invoerenduet!$AD$31</f>
        <v>0</v>
      </c>
      <c r="H217" s="163">
        <f>Invoerenduet!$AE$31</f>
        <v>0</v>
      </c>
      <c r="I217" s="163">
        <f>Invoerenduet!$AF$31</f>
        <v>0</v>
      </c>
      <c r="J217" s="136">
        <f>Invoerenduet!$AH$31</f>
        <v>0</v>
      </c>
      <c r="K217" s="130" t="s">
        <v>79</v>
      </c>
      <c r="L217" s="164" t="s">
        <v>80</v>
      </c>
      <c r="M217" s="165">
        <f>Invoerenduet!$C$1</f>
        <v>50</v>
      </c>
      <c r="N217" s="166" t="s">
        <v>81</v>
      </c>
      <c r="O217" s="167">
        <f>ROUND(Invoerenduet!$BX$31*Invoerenduet!$C$1/100,4)</f>
        <v>0</v>
      </c>
      <c r="P217" s="49">
        <f>Invoerenduet!$BY$31</f>
      </c>
    </row>
    <row r="218" spans="1:16" ht="18.75" customHeight="1">
      <c r="A218" s="135">
        <f>Invoerenduet!$I$31</f>
        <v>0</v>
      </c>
      <c r="B218" s="135">
        <f>Invoerenduet!$G$31</f>
        <v>0</v>
      </c>
      <c r="C218" s="135">
        <f>Invoerenduet!$H$31</f>
        <v>0</v>
      </c>
      <c r="D218" s="126">
        <v>0.4</v>
      </c>
      <c r="E218" s="127">
        <f>Invoerenduet!$AO$31</f>
        <v>0</v>
      </c>
      <c r="F218" s="127">
        <f>Invoerenduet!$AP$31</f>
        <v>0</v>
      </c>
      <c r="G218" s="127">
        <f>Invoerenduet!$AQ$31</f>
        <v>0</v>
      </c>
      <c r="H218" s="128">
        <f>Invoerenduet!$AR$31</f>
        <v>0</v>
      </c>
      <c r="I218" s="128">
        <f>Invoerenduet!$AS$31</f>
        <v>0</v>
      </c>
      <c r="J218" s="136">
        <f>Invoerenduet!$AU$31</f>
        <v>0</v>
      </c>
      <c r="K218" s="137" t="s">
        <v>82</v>
      </c>
      <c r="L218" s="138" t="s">
        <v>83</v>
      </c>
      <c r="M218" s="139">
        <f>Invoerenduet!$C$3</f>
        <v>0</v>
      </c>
      <c r="N218" s="140" t="s">
        <v>81</v>
      </c>
      <c r="O218" s="141">
        <f>ROUND(Invoerenduet!$S$31*Invoerenduet!$C$3/100,4)</f>
        <v>0</v>
      </c>
      <c r="P218" s="7">
        <f>Invoerenduet!$T$31</f>
      </c>
    </row>
    <row r="219" spans="1:11" ht="18.75" customHeight="1">
      <c r="A219" s="135">
        <f>Invoerenduet!$L$31</f>
        <v>0</v>
      </c>
      <c r="B219" s="135">
        <f>Invoerenduet!$J$31</f>
        <v>0</v>
      </c>
      <c r="C219" s="135">
        <f>Invoerenduet!$K$31</f>
        <v>0</v>
      </c>
      <c r="D219" s="126">
        <v>0.3</v>
      </c>
      <c r="E219" s="127">
        <f>Invoerenduet!$BB$31</f>
        <v>0</v>
      </c>
      <c r="F219" s="127">
        <f>Invoerenduet!$BC$31</f>
        <v>0</v>
      </c>
      <c r="G219" s="127">
        <f>Invoerenduet!$BD$31</f>
        <v>0</v>
      </c>
      <c r="H219" s="128">
        <f>Invoerenduet!$BE$31</f>
        <v>0</v>
      </c>
      <c r="I219" s="128">
        <f>Invoerenduet!$BF$31</f>
        <v>0</v>
      </c>
      <c r="J219" s="136">
        <f>Invoerenduet!$BH$31</f>
        <v>0</v>
      </c>
      <c r="K219" s="137" t="s">
        <v>84</v>
      </c>
    </row>
    <row r="220" spans="1:10" ht="18.75" customHeight="1">
      <c r="A220" s="135">
        <f>Invoerenduet!$O$31</f>
        <v>0</v>
      </c>
      <c r="B220" s="135">
        <f>Invoerenduet!$M$31</f>
        <v>0</v>
      </c>
      <c r="C220" s="135">
        <f>Invoerenduet!$N$31</f>
        <v>0</v>
      </c>
      <c r="F220" s="144"/>
      <c r="G220" s="144"/>
      <c r="H220" s="145"/>
      <c r="I220" s="145"/>
      <c r="J220" s="146">
        <f>SUM(J217:J219)</f>
        <v>0</v>
      </c>
    </row>
    <row r="221" spans="1:11" ht="18.75" customHeight="1">
      <c r="A221" s="135"/>
      <c r="B221" s="135"/>
      <c r="C221" s="135"/>
      <c r="F221" s="135"/>
      <c r="G221" s="135"/>
      <c r="H221" s="147"/>
      <c r="I221" s="148" t="s">
        <v>85</v>
      </c>
      <c r="J221" s="149">
        <f>Invoerenduet!$BK$31</f>
        <v>0</v>
      </c>
      <c r="K221" s="137" t="s">
        <v>86</v>
      </c>
    </row>
    <row r="222" spans="1:16" ht="18.75" customHeight="1">
      <c r="A222" s="135"/>
      <c r="B222" s="135" t="s">
        <v>19</v>
      </c>
      <c r="C222" s="135">
        <f>Invoerenduet!$E$31</f>
        <v>0</v>
      </c>
      <c r="D222" s="96"/>
      <c r="F222" s="135"/>
      <c r="G222" s="135"/>
      <c r="H222" s="147"/>
      <c r="I222" s="148" t="s">
        <v>5</v>
      </c>
      <c r="J222" s="152">
        <f>Invoerenduet!$BL$31</f>
        <v>0</v>
      </c>
      <c r="L222" s="142" t="s">
        <v>95</v>
      </c>
      <c r="M222" s="142">
        <f>Invoerenduet!$C$2</f>
        <v>50</v>
      </c>
      <c r="N222" s="153" t="s">
        <v>81</v>
      </c>
      <c r="O222" s="154">
        <f>Invoerenduet!$BN$31</f>
        <v>0</v>
      </c>
      <c r="P222" s="7">
        <f>Invoerenduet!$V$31</f>
      </c>
    </row>
    <row r="223" spans="1:16" ht="18.75" customHeight="1">
      <c r="A223" s="135"/>
      <c r="B223" s="135" t="s">
        <v>20</v>
      </c>
      <c r="C223" s="135">
        <f>Invoerenduet!$F$31</f>
        <v>0</v>
      </c>
      <c r="D223" s="96"/>
      <c r="F223" s="135"/>
      <c r="G223" s="135"/>
      <c r="H223" s="155"/>
      <c r="J223" s="152"/>
      <c r="L223" s="156" t="s">
        <v>17</v>
      </c>
      <c r="N223" s="142"/>
      <c r="O223" s="143">
        <f>Invoerenduet!$C$31</f>
        <v>0</v>
      </c>
      <c r="P223" s="157"/>
    </row>
    <row r="224" spans="1:10" ht="18.75" customHeight="1">
      <c r="A224" s="135"/>
      <c r="B224" s="135"/>
      <c r="C224" s="135"/>
      <c r="F224" s="135"/>
      <c r="G224" s="135"/>
      <c r="H224" s="147"/>
      <c r="I224" s="156"/>
      <c r="J224" s="152"/>
    </row>
    <row r="225" spans="1:16" ht="18.75" customHeight="1">
      <c r="A225" s="155">
        <f>Invoerenduet!$B$32</f>
        <v>4</v>
      </c>
      <c r="B225" s="161">
        <f>Invoerenduet!$D$32</f>
        <v>0</v>
      </c>
      <c r="C225" s="125">
        <f>Invoerenduet!$Q$32</f>
        <v>0</v>
      </c>
      <c r="D225" s="126">
        <v>0.3</v>
      </c>
      <c r="E225" s="162">
        <f>Invoerenduet!$AB$32</f>
        <v>0</v>
      </c>
      <c r="F225" s="162">
        <f>Invoerenduet!$AC$32</f>
        <v>0</v>
      </c>
      <c r="G225" s="162">
        <f>Invoerenduet!$AD$32</f>
        <v>0</v>
      </c>
      <c r="H225" s="163">
        <f>Invoerenduet!$AE$32</f>
        <v>0</v>
      </c>
      <c r="I225" s="163">
        <f>Invoerenduet!$AF$32</f>
        <v>0</v>
      </c>
      <c r="J225" s="136">
        <f>Invoerenduet!$AH$32</f>
        <v>0</v>
      </c>
      <c r="K225" s="130" t="s">
        <v>79</v>
      </c>
      <c r="L225" s="164" t="s">
        <v>80</v>
      </c>
      <c r="M225" s="165">
        <f>Invoerenduet!$C$1</f>
        <v>50</v>
      </c>
      <c r="N225" s="166" t="s">
        <v>81</v>
      </c>
      <c r="O225" s="167">
        <f>ROUND(Invoerenduet!$BX$32*Invoerenduet!$C$1/100,4)</f>
        <v>0</v>
      </c>
      <c r="P225" s="49">
        <f>Invoerenduet!$BY$32</f>
      </c>
    </row>
    <row r="226" spans="1:16" ht="18.75" customHeight="1">
      <c r="A226" s="135">
        <f>Invoerenduet!$I$32</f>
        <v>0</v>
      </c>
      <c r="B226" s="135">
        <f>Invoerenduet!$G$32</f>
        <v>0</v>
      </c>
      <c r="C226" s="135">
        <f>Invoerenduet!$H$32</f>
        <v>0</v>
      </c>
      <c r="D226" s="126">
        <v>0.4</v>
      </c>
      <c r="E226" s="127">
        <f>Invoerenduet!$AO$32</f>
        <v>0</v>
      </c>
      <c r="F226" s="127">
        <f>Invoerenduet!$AP$32</f>
        <v>0</v>
      </c>
      <c r="G226" s="127">
        <f>Invoerenduet!$AQ$32</f>
        <v>0</v>
      </c>
      <c r="H226" s="128">
        <f>Invoerenduet!$AR$32</f>
        <v>0</v>
      </c>
      <c r="I226" s="128">
        <f>Invoerenduet!$AS$32</f>
        <v>0</v>
      </c>
      <c r="J226" s="136">
        <f>Invoerenduet!$AU$32</f>
        <v>0</v>
      </c>
      <c r="K226" s="137" t="s">
        <v>82</v>
      </c>
      <c r="L226" s="138" t="s">
        <v>83</v>
      </c>
      <c r="M226" s="139">
        <f>Invoerenduet!$C$3</f>
        <v>0</v>
      </c>
      <c r="N226" s="140" t="s">
        <v>81</v>
      </c>
      <c r="O226" s="141">
        <f>ROUND(Invoerenduet!$S$32*Invoerenduet!$C$3/100,4)</f>
        <v>0</v>
      </c>
      <c r="P226" s="7">
        <f>Invoerenduet!$T$32</f>
      </c>
    </row>
    <row r="227" spans="1:11" ht="18.75" customHeight="1">
      <c r="A227" s="135">
        <f>Invoerenduet!$L$32</f>
        <v>0</v>
      </c>
      <c r="B227" s="135">
        <f>Invoerenduet!$J$32</f>
        <v>0</v>
      </c>
      <c r="C227" s="135">
        <f>Invoerenduet!$K$32</f>
        <v>0</v>
      </c>
      <c r="D227" s="126">
        <v>0.3</v>
      </c>
      <c r="E227" s="127">
        <f>Invoerenduet!$BB$32</f>
        <v>0</v>
      </c>
      <c r="F227" s="127">
        <f>Invoerenduet!$BC$32</f>
        <v>0</v>
      </c>
      <c r="G227" s="127">
        <f>Invoerenduet!$BD$32</f>
        <v>0</v>
      </c>
      <c r="H227" s="128">
        <f>Invoerenduet!$BE$32</f>
        <v>0</v>
      </c>
      <c r="I227" s="128">
        <f>Invoerenduet!$BF$32</f>
        <v>0</v>
      </c>
      <c r="J227" s="136">
        <f>Invoerenduet!$BH$32</f>
        <v>0</v>
      </c>
      <c r="K227" s="137" t="s">
        <v>84</v>
      </c>
    </row>
    <row r="228" spans="1:10" ht="18.75" customHeight="1">
      <c r="A228" s="135">
        <f>Invoerenduet!$O$32</f>
        <v>0</v>
      </c>
      <c r="B228" s="135">
        <f>Invoerenduet!$M$32</f>
        <v>0</v>
      </c>
      <c r="C228" s="135">
        <f>Invoerenduet!$N$32</f>
        <v>0</v>
      </c>
      <c r="F228" s="144"/>
      <c r="G228" s="144"/>
      <c r="H228" s="145"/>
      <c r="I228" s="145"/>
      <c r="J228" s="146">
        <f>SUM(J225:J227)</f>
        <v>0</v>
      </c>
    </row>
    <row r="229" spans="1:11" ht="18.75" customHeight="1">
      <c r="A229" s="135"/>
      <c r="B229" s="135"/>
      <c r="C229" s="135"/>
      <c r="F229" s="135"/>
      <c r="G229" s="135"/>
      <c r="H229" s="147"/>
      <c r="I229" s="148" t="s">
        <v>85</v>
      </c>
      <c r="J229" s="149">
        <f>Invoerenduet!$BK$32</f>
        <v>0</v>
      </c>
      <c r="K229" s="137" t="s">
        <v>86</v>
      </c>
    </row>
    <row r="230" spans="1:16" ht="18.75" customHeight="1">
      <c r="A230" s="135"/>
      <c r="B230" s="135" t="s">
        <v>19</v>
      </c>
      <c r="C230" s="135">
        <f>Invoerenduet!$E$32</f>
        <v>0</v>
      </c>
      <c r="D230" s="96"/>
      <c r="F230" s="135"/>
      <c r="G230" s="135"/>
      <c r="H230" s="147"/>
      <c r="I230" s="148" t="s">
        <v>5</v>
      </c>
      <c r="J230" s="152">
        <f>Invoerenduet!$BL$32</f>
        <v>0</v>
      </c>
      <c r="L230" s="142" t="s">
        <v>95</v>
      </c>
      <c r="M230" s="142">
        <f>Invoerenduet!$C$2</f>
        <v>50</v>
      </c>
      <c r="N230" s="153" t="s">
        <v>81</v>
      </c>
      <c r="O230" s="154">
        <f>Invoerenduet!$BN$32</f>
        <v>0</v>
      </c>
      <c r="P230" s="7">
        <f>Invoerenduet!$V$32</f>
      </c>
    </row>
    <row r="231" spans="1:16" ht="18.75" customHeight="1">
      <c r="A231" s="135"/>
      <c r="B231" s="135" t="s">
        <v>20</v>
      </c>
      <c r="C231" s="135">
        <f>Invoerenduet!$F$32</f>
        <v>0</v>
      </c>
      <c r="D231" s="96"/>
      <c r="F231" s="135"/>
      <c r="G231" s="135"/>
      <c r="H231" s="155"/>
      <c r="J231" s="152"/>
      <c r="L231" s="156" t="s">
        <v>17</v>
      </c>
      <c r="N231" s="142"/>
      <c r="O231" s="143">
        <f>Invoerenduet!$C$32</f>
        <v>0</v>
      </c>
      <c r="P231" s="157"/>
    </row>
    <row r="232" spans="1:10" ht="18.75" customHeight="1">
      <c r="A232" s="135"/>
      <c r="B232" s="135"/>
      <c r="C232" s="135"/>
      <c r="F232" s="135"/>
      <c r="G232" s="135"/>
      <c r="H232" s="147"/>
      <c r="I232" s="156"/>
      <c r="J232" s="152"/>
    </row>
    <row r="233" spans="1:16" ht="18.75" customHeight="1">
      <c r="A233" s="155">
        <f>Invoerenduet!$B$33</f>
        <v>4</v>
      </c>
      <c r="B233" s="161">
        <f>Invoerenduet!$D$33</f>
        <v>0</v>
      </c>
      <c r="C233" s="125">
        <f>Invoerenduet!$Q$33</f>
        <v>0</v>
      </c>
      <c r="D233" s="126">
        <v>0.3</v>
      </c>
      <c r="E233" s="162">
        <f>Invoerenduet!$AB$33</f>
        <v>0</v>
      </c>
      <c r="F233" s="162">
        <f>Invoerenduet!$AC$33</f>
        <v>0</v>
      </c>
      <c r="G233" s="162">
        <f>Invoerenduet!$AD$33</f>
        <v>0</v>
      </c>
      <c r="H233" s="163">
        <f>Invoerenduet!$AE$33</f>
        <v>0</v>
      </c>
      <c r="I233" s="163">
        <f>Invoerenduet!$AF$33</f>
        <v>0</v>
      </c>
      <c r="J233" s="136">
        <f>Invoerenduet!$AH$33</f>
        <v>0</v>
      </c>
      <c r="K233" s="130" t="s">
        <v>79</v>
      </c>
      <c r="L233" s="164" t="s">
        <v>80</v>
      </c>
      <c r="M233" s="165">
        <f>Invoerenduet!$C$1</f>
        <v>50</v>
      </c>
      <c r="N233" s="166" t="s">
        <v>81</v>
      </c>
      <c r="O233" s="167">
        <f>ROUND(Invoerenduet!$BX$33*Invoerenduet!$C$1/100,4)</f>
        <v>0</v>
      </c>
      <c r="P233" s="49">
        <f>Invoerenduet!$BY$33</f>
      </c>
    </row>
    <row r="234" spans="1:16" ht="18.75" customHeight="1">
      <c r="A234" s="135">
        <f>Invoerenduet!$I$33</f>
        <v>0</v>
      </c>
      <c r="B234" s="135">
        <f>Invoerenduet!$G$33</f>
        <v>0</v>
      </c>
      <c r="C234" s="135">
        <f>Invoerenduet!$H$33</f>
        <v>0</v>
      </c>
      <c r="D234" s="126">
        <v>0.4</v>
      </c>
      <c r="E234" s="127">
        <f>Invoerenduet!$AO$33</f>
        <v>0</v>
      </c>
      <c r="F234" s="127">
        <f>Invoerenduet!$AP$33</f>
        <v>0</v>
      </c>
      <c r="G234" s="127">
        <f>Invoerenduet!$AQ$33</f>
        <v>0</v>
      </c>
      <c r="H234" s="128">
        <f>Invoerenduet!$AR$33</f>
        <v>0</v>
      </c>
      <c r="I234" s="128">
        <f>Invoerenduet!$AS$33</f>
        <v>0</v>
      </c>
      <c r="J234" s="136">
        <f>Invoerenduet!$AU$33</f>
        <v>0</v>
      </c>
      <c r="K234" s="137" t="s">
        <v>82</v>
      </c>
      <c r="L234" s="138" t="s">
        <v>83</v>
      </c>
      <c r="M234" s="139">
        <f>Invoerenduet!$C$3</f>
        <v>0</v>
      </c>
      <c r="N234" s="140" t="s">
        <v>81</v>
      </c>
      <c r="O234" s="141">
        <f>ROUND(Invoerenduet!$S$33*Invoerenduet!$C$3/100,4)</f>
        <v>0</v>
      </c>
      <c r="P234" s="7">
        <f>Invoerenduet!$T$33</f>
      </c>
    </row>
    <row r="235" spans="1:11" ht="18.75" customHeight="1">
      <c r="A235" s="135">
        <f>Invoerenduet!$L$33</f>
        <v>0</v>
      </c>
      <c r="B235" s="135">
        <f>Invoerenduet!$J$33</f>
        <v>0</v>
      </c>
      <c r="C235" s="135">
        <f>Invoerenduet!$K$33</f>
        <v>0</v>
      </c>
      <c r="D235" s="126">
        <v>0.3</v>
      </c>
      <c r="E235" s="127">
        <f>Invoerenduet!$BB$33</f>
        <v>0</v>
      </c>
      <c r="F235" s="127">
        <f>Invoerenduet!$BC$33</f>
        <v>0</v>
      </c>
      <c r="G235" s="127">
        <f>Invoerenduet!$BD$33</f>
        <v>0</v>
      </c>
      <c r="H235" s="128">
        <f>Invoerenduet!$BE$33</f>
        <v>0</v>
      </c>
      <c r="I235" s="128">
        <f>Invoerenduet!$BF$33</f>
        <v>0</v>
      </c>
      <c r="J235" s="136">
        <f>Invoerenduet!$BH$33</f>
        <v>0</v>
      </c>
      <c r="K235" s="137" t="s">
        <v>84</v>
      </c>
    </row>
    <row r="236" spans="1:10" ht="18.75" customHeight="1">
      <c r="A236" s="135">
        <f>Invoerenduet!$O$33</f>
        <v>0</v>
      </c>
      <c r="B236" s="135">
        <f>Invoerenduet!$M$33</f>
        <v>0</v>
      </c>
      <c r="C236" s="135">
        <f>Invoerenduet!$N$33</f>
        <v>0</v>
      </c>
      <c r="F236" s="144"/>
      <c r="G236" s="144"/>
      <c r="H236" s="145"/>
      <c r="I236" s="145"/>
      <c r="J236" s="146">
        <f>SUM(J233:J235)</f>
        <v>0</v>
      </c>
    </row>
    <row r="237" spans="1:11" ht="18.75" customHeight="1">
      <c r="A237" s="135"/>
      <c r="B237" s="135"/>
      <c r="C237" s="135"/>
      <c r="F237" s="135"/>
      <c r="G237" s="135"/>
      <c r="H237" s="147"/>
      <c r="I237" s="148" t="s">
        <v>85</v>
      </c>
      <c r="J237" s="149">
        <f>Invoerenduet!$BK$33</f>
        <v>0</v>
      </c>
      <c r="K237" s="137" t="s">
        <v>86</v>
      </c>
    </row>
    <row r="238" spans="1:16" ht="18.75" customHeight="1">
      <c r="A238" s="135"/>
      <c r="B238" s="135" t="s">
        <v>19</v>
      </c>
      <c r="C238" s="135">
        <f>Invoerenduet!$E$33</f>
        <v>0</v>
      </c>
      <c r="D238" s="96"/>
      <c r="F238" s="135"/>
      <c r="G238" s="135"/>
      <c r="H238" s="147"/>
      <c r="I238" s="148" t="s">
        <v>5</v>
      </c>
      <c r="J238" s="152">
        <f>Invoerenduet!$BL$33</f>
        <v>0</v>
      </c>
      <c r="L238" s="142" t="s">
        <v>95</v>
      </c>
      <c r="M238" s="142">
        <f>Invoerenduet!$C$2</f>
        <v>50</v>
      </c>
      <c r="N238" s="153" t="s">
        <v>81</v>
      </c>
      <c r="O238" s="154">
        <f>Invoerenduet!$BN$33</f>
        <v>0</v>
      </c>
      <c r="P238" s="7">
        <f>Invoerenduet!$V$33</f>
      </c>
    </row>
    <row r="239" spans="1:16" ht="18.75" customHeight="1">
      <c r="A239" s="135"/>
      <c r="B239" s="135" t="s">
        <v>20</v>
      </c>
      <c r="C239" s="135">
        <f>Invoerenduet!$F$33</f>
        <v>0</v>
      </c>
      <c r="D239" s="96"/>
      <c r="F239" s="135"/>
      <c r="G239" s="135"/>
      <c r="H239" s="155"/>
      <c r="J239" s="152"/>
      <c r="L239" s="156" t="s">
        <v>17</v>
      </c>
      <c r="N239" s="142"/>
      <c r="O239" s="143">
        <f>Invoerenduet!$C$33</f>
        <v>0</v>
      </c>
      <c r="P239" s="157"/>
    </row>
    <row r="240" spans="1:10" ht="18.75" customHeight="1">
      <c r="A240" s="135"/>
      <c r="B240" s="135"/>
      <c r="C240" s="135"/>
      <c r="F240" s="135"/>
      <c r="G240" s="135"/>
      <c r="H240" s="147"/>
      <c r="I240" s="156"/>
      <c r="J240" s="152"/>
    </row>
    <row r="241" spans="1:16" ht="18.75" customHeight="1">
      <c r="A241" s="155">
        <f>Invoerenduet!$B$34</f>
        <v>4</v>
      </c>
      <c r="B241" s="161">
        <f>Invoerenduet!$D$34</f>
        <v>0</v>
      </c>
      <c r="C241" s="125">
        <f>Invoerenduet!$Q$34</f>
        <v>0</v>
      </c>
      <c r="D241" s="126">
        <v>0.3</v>
      </c>
      <c r="E241" s="162">
        <f>Invoerenduet!$AB$34</f>
        <v>0</v>
      </c>
      <c r="F241" s="162">
        <f>Invoerenduet!$AC$34</f>
        <v>0</v>
      </c>
      <c r="G241" s="162">
        <f>Invoerenduet!$AD$34</f>
        <v>0</v>
      </c>
      <c r="H241" s="163">
        <f>Invoerenduet!$AE$34</f>
        <v>0</v>
      </c>
      <c r="I241" s="163">
        <f>Invoerenduet!$AF$34</f>
        <v>0</v>
      </c>
      <c r="J241" s="136">
        <f>Invoerenduet!$AH$34</f>
        <v>0</v>
      </c>
      <c r="K241" s="130" t="s">
        <v>79</v>
      </c>
      <c r="L241" s="164" t="s">
        <v>80</v>
      </c>
      <c r="M241" s="165">
        <f>Invoerenduet!$C$1</f>
        <v>50</v>
      </c>
      <c r="N241" s="166" t="s">
        <v>81</v>
      </c>
      <c r="O241" s="167">
        <f>ROUND(Invoerenduet!$BX$34*Invoerenduet!$C$1/100,4)</f>
        <v>0</v>
      </c>
      <c r="P241" s="49">
        <f>Invoerenduet!$BY$34</f>
      </c>
    </row>
    <row r="242" spans="1:16" ht="18.75" customHeight="1">
      <c r="A242" s="135">
        <f>Invoerenduet!$I$34</f>
        <v>0</v>
      </c>
      <c r="B242" s="135">
        <f>Invoerenduet!$G$34</f>
        <v>0</v>
      </c>
      <c r="C242" s="135">
        <f>Invoerenduet!$H$34</f>
        <v>0</v>
      </c>
      <c r="D242" s="126">
        <v>0.4</v>
      </c>
      <c r="E242" s="127">
        <f>Invoerenduet!$AO$34</f>
        <v>0</v>
      </c>
      <c r="F242" s="127">
        <f>Invoerenduet!$AP$34</f>
        <v>0</v>
      </c>
      <c r="G242" s="127">
        <f>Invoerenduet!$AQ$34</f>
        <v>0</v>
      </c>
      <c r="H242" s="128">
        <f>Invoerenduet!$AR$34</f>
        <v>0</v>
      </c>
      <c r="I242" s="128">
        <f>Invoerenduet!$AS$34</f>
        <v>0</v>
      </c>
      <c r="J242" s="136">
        <f>Invoerenduet!$AU$34</f>
        <v>0</v>
      </c>
      <c r="K242" s="137" t="s">
        <v>82</v>
      </c>
      <c r="L242" s="138" t="s">
        <v>83</v>
      </c>
      <c r="M242" s="139">
        <f>Invoerenduet!$C$3</f>
        <v>0</v>
      </c>
      <c r="N242" s="140" t="s">
        <v>81</v>
      </c>
      <c r="O242" s="141">
        <f>ROUND(Invoerenduet!$S$34*Invoerenduet!$C$3/100,4)</f>
        <v>0</v>
      </c>
      <c r="P242" s="7">
        <f>Invoerenduet!$T$34</f>
      </c>
    </row>
    <row r="243" spans="1:11" ht="18.75" customHeight="1">
      <c r="A243" s="135">
        <f>Invoerenduet!$L$34</f>
        <v>0</v>
      </c>
      <c r="B243" s="135">
        <f>Invoerenduet!$J$34</f>
        <v>0</v>
      </c>
      <c r="C243" s="135">
        <f>Invoerenduet!$K$34</f>
        <v>0</v>
      </c>
      <c r="D243" s="126">
        <v>0.3</v>
      </c>
      <c r="E243" s="127">
        <f>Invoerenduet!$BB$34</f>
        <v>0</v>
      </c>
      <c r="F243" s="127">
        <f>Invoerenduet!$BC$34</f>
        <v>0</v>
      </c>
      <c r="G243" s="127">
        <f>Invoerenduet!$BD$34</f>
        <v>0</v>
      </c>
      <c r="H243" s="128">
        <f>Invoerenduet!$BE$34</f>
        <v>0</v>
      </c>
      <c r="I243" s="128">
        <f>Invoerenduet!$BF$34</f>
        <v>0</v>
      </c>
      <c r="J243" s="136">
        <f>Invoerenduet!$BH$34</f>
        <v>0</v>
      </c>
      <c r="K243" s="137" t="s">
        <v>84</v>
      </c>
    </row>
    <row r="244" spans="1:10" ht="18.75" customHeight="1">
      <c r="A244" s="135">
        <f>Invoerenduet!$O$34</f>
        <v>0</v>
      </c>
      <c r="B244" s="135">
        <f>Invoerenduet!$M$34</f>
        <v>0</v>
      </c>
      <c r="C244" s="135">
        <f>Invoerenduet!$N$34</f>
        <v>0</v>
      </c>
      <c r="F244" s="144"/>
      <c r="G244" s="144"/>
      <c r="H244" s="145"/>
      <c r="I244" s="145"/>
      <c r="J244" s="146">
        <f>SUM(J241:J243)</f>
        <v>0</v>
      </c>
    </row>
    <row r="245" spans="1:11" ht="18.75" customHeight="1">
      <c r="A245" s="135"/>
      <c r="B245" s="135"/>
      <c r="C245" s="135"/>
      <c r="F245" s="135"/>
      <c r="G245" s="135"/>
      <c r="H245" s="147"/>
      <c r="I245" s="148" t="s">
        <v>85</v>
      </c>
      <c r="J245" s="149">
        <f>Invoerenduet!$BK$34</f>
        <v>0</v>
      </c>
      <c r="K245" s="137" t="s">
        <v>86</v>
      </c>
    </row>
    <row r="246" spans="1:16" ht="18.75" customHeight="1">
      <c r="A246" s="135"/>
      <c r="B246" s="135" t="s">
        <v>19</v>
      </c>
      <c r="C246" s="135">
        <f>Invoerenduet!$E$34</f>
        <v>0</v>
      </c>
      <c r="D246" s="96"/>
      <c r="F246" s="135"/>
      <c r="G246" s="135"/>
      <c r="H246" s="147"/>
      <c r="I246" s="148" t="s">
        <v>5</v>
      </c>
      <c r="J246" s="152">
        <f>Invoerenduet!$BL$34</f>
        <v>0</v>
      </c>
      <c r="L246" s="142" t="s">
        <v>95</v>
      </c>
      <c r="M246" s="142">
        <f>Invoerenduet!$C$2</f>
        <v>50</v>
      </c>
      <c r="N246" s="153" t="s">
        <v>81</v>
      </c>
      <c r="O246" s="154">
        <f>Invoerenduet!$BN$34</f>
        <v>0</v>
      </c>
      <c r="P246" s="7">
        <f>Invoerenduet!$V$34</f>
      </c>
    </row>
    <row r="247" spans="1:16" ht="18.75" customHeight="1">
      <c r="A247" s="135"/>
      <c r="B247" s="135" t="s">
        <v>20</v>
      </c>
      <c r="C247" s="135">
        <f>Invoerenduet!$F$34</f>
        <v>0</v>
      </c>
      <c r="D247" s="96"/>
      <c r="F247" s="135"/>
      <c r="G247" s="135"/>
      <c r="H247" s="155"/>
      <c r="J247" s="152"/>
      <c r="L247" s="156" t="s">
        <v>17</v>
      </c>
      <c r="N247" s="142"/>
      <c r="O247" s="143">
        <f>Invoerenduet!$C$34</f>
        <v>0</v>
      </c>
      <c r="P247" s="157"/>
    </row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</sheetData>
  <sheetProtection selectLockedCells="1" selectUnlockedCells="1"/>
  <mergeCells count="5">
    <mergeCell ref="A1:G1"/>
    <mergeCell ref="J1:K1"/>
    <mergeCell ref="L1:N1"/>
    <mergeCell ref="J2:K2"/>
    <mergeCell ref="L2:N2"/>
  </mergeCells>
  <printOptions/>
  <pageMargins left="0.25" right="0.25" top="0.75" bottom="0.75" header="0.5118055555555555" footer="0.3"/>
  <pageSetup horizontalDpi="300" verticalDpi="300" orientation="portrait" paperSize="9" scale="74" r:id="rId1"/>
  <headerFooter alignWithMargins="0">
    <oddFooter>&amp;L&amp;8&amp;P/&amp;N&amp;R&amp;8&amp;A</oddFooter>
  </headerFooter>
  <rowBreaks count="4" manualBreakCount="4">
    <brk id="56" max="255" man="1"/>
    <brk id="104" max="255" man="1"/>
    <brk id="152" max="255" man="1"/>
    <brk id="2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T42"/>
  <sheetViews>
    <sheetView showZeros="0" view="pageBreakPreview" zoomScaleNormal="110" zoomScaleSheetLayoutView="100" zoomScalePageLayoutView="0" workbookViewId="0" topLeftCell="A1">
      <selection activeCell="O2" sqref="O2"/>
    </sheetView>
  </sheetViews>
  <sheetFormatPr defaultColWidth="9.00390625" defaultRowHeight="12.75"/>
  <cols>
    <col min="1" max="17" width="6.25390625" style="190" customWidth="1"/>
    <col min="18" max="18" width="5.25390625" style="190" customWidth="1"/>
    <col min="19" max="16384" width="9.125" style="190" customWidth="1"/>
  </cols>
  <sheetData>
    <row r="1" spans="1:18" ht="47.25" customHeight="1">
      <c r="A1" s="191" t="s">
        <v>96</v>
      </c>
      <c r="P1" s="420"/>
      <c r="Q1" s="420"/>
      <c r="R1" s="192"/>
    </row>
    <row r="2" spans="1:16" ht="20.25">
      <c r="A2" s="193" t="s">
        <v>97</v>
      </c>
      <c r="M2" s="415" t="s">
        <v>98</v>
      </c>
      <c r="N2" s="415"/>
      <c r="O2" s="421">
        <v>2</v>
      </c>
      <c r="P2" s="421"/>
    </row>
    <row r="3" spans="1:17" ht="15" customHeight="1">
      <c r="A3" s="194" t="s">
        <v>99</v>
      </c>
      <c r="B3" s="195"/>
      <c r="C3" s="419" t="str">
        <f>'Startlijst solo'!B1</f>
        <v>LSZK-A</v>
      </c>
      <c r="D3" s="419"/>
      <c r="E3" s="419"/>
      <c r="F3" s="419"/>
      <c r="G3" s="419"/>
      <c r="H3" s="419"/>
      <c r="I3" s="419"/>
      <c r="J3" s="419"/>
      <c r="K3" s="419"/>
      <c r="L3" s="419"/>
      <c r="M3" s="415" t="s">
        <v>100</v>
      </c>
      <c r="N3" s="415"/>
      <c r="O3" s="401" t="s">
        <v>64</v>
      </c>
      <c r="P3" s="401"/>
      <c r="Q3" s="196"/>
    </row>
    <row r="4" spans="1:17" ht="15" customHeight="1">
      <c r="A4" s="416" t="s">
        <v>101</v>
      </c>
      <c r="B4" s="416"/>
      <c r="C4" s="419" t="str">
        <f>'Startlijst solo'!D2</f>
        <v>Zwembad: De Sprank te Venray</v>
      </c>
      <c r="D4" s="419"/>
      <c r="E4" s="419"/>
      <c r="F4" s="419"/>
      <c r="G4" s="419"/>
      <c r="H4" s="419"/>
      <c r="I4" s="419"/>
      <c r="J4" s="419"/>
      <c r="K4" s="419"/>
      <c r="L4" s="419"/>
      <c r="M4" s="415" t="s">
        <v>102</v>
      </c>
      <c r="N4" s="415"/>
      <c r="O4" s="401"/>
      <c r="P4" s="401"/>
      <c r="Q4" s="196"/>
    </row>
    <row r="5" spans="1:17" ht="15" customHeight="1">
      <c r="A5" s="194" t="s">
        <v>66</v>
      </c>
      <c r="B5" s="195"/>
      <c r="C5" s="417">
        <f>'Startlijst solo'!N1</f>
        <v>41805</v>
      </c>
      <c r="D5" s="417"/>
      <c r="E5" s="417"/>
      <c r="F5" s="417"/>
      <c r="G5" s="417"/>
      <c r="H5" s="417"/>
      <c r="I5" s="417"/>
      <c r="J5" s="417"/>
      <c r="K5" s="417"/>
      <c r="L5" s="417"/>
      <c r="M5" s="415" t="s">
        <v>103</v>
      </c>
      <c r="N5" s="415"/>
      <c r="O5" s="401"/>
      <c r="P5" s="401"/>
      <c r="Q5" s="196"/>
    </row>
    <row r="6" spans="1:16" ht="15" customHeight="1">
      <c r="A6" s="416" t="s">
        <v>105</v>
      </c>
      <c r="B6" s="416"/>
      <c r="C6" s="254" t="str">
        <f>VLOOKUP($O$2,Invoerenduet!$A$4:$DF$33,4,FALSE)</f>
        <v>Hellas-Glana</v>
      </c>
      <c r="D6" s="254"/>
      <c r="E6" s="254"/>
      <c r="F6" s="254"/>
      <c r="G6" s="254"/>
      <c r="H6" s="254"/>
      <c r="I6" s="254"/>
      <c r="J6" s="254"/>
      <c r="K6" s="254"/>
      <c r="L6" s="254"/>
      <c r="M6" s="415" t="s">
        <v>106</v>
      </c>
      <c r="N6" s="415"/>
      <c r="O6" s="401" t="s">
        <v>104</v>
      </c>
      <c r="P6" s="401"/>
    </row>
    <row r="7" spans="1:16" ht="15" customHeight="1">
      <c r="A7" s="194" t="s">
        <v>107</v>
      </c>
      <c r="B7" s="195"/>
      <c r="C7" s="198"/>
      <c r="D7" s="199"/>
      <c r="E7" s="200"/>
      <c r="F7" s="201"/>
      <c r="G7" s="201"/>
      <c r="H7" s="201"/>
      <c r="I7" s="201" t="s">
        <v>64</v>
      </c>
      <c r="J7" s="197" t="s">
        <v>108</v>
      </c>
      <c r="K7" s="418" t="str">
        <f>VLOOKUP($O$2,Invoerenduet!$A$4:$DF$33,17,FALSE)</f>
        <v>Limburg</v>
      </c>
      <c r="L7" s="418"/>
      <c r="M7" s="415" t="s">
        <v>109</v>
      </c>
      <c r="N7" s="415"/>
      <c r="O7" s="401"/>
      <c r="P7" s="401"/>
    </row>
    <row r="8" spans="1:16" ht="15" customHeight="1">
      <c r="A8" s="414" t="s">
        <v>110</v>
      </c>
      <c r="B8" s="414"/>
      <c r="C8" s="202" t="str">
        <f>VLOOKUP($O$2,Invoerenduet!$A$4:$DF$33,5,FALSE)</f>
        <v>Caramba</v>
      </c>
      <c r="D8" s="202"/>
      <c r="E8" s="202"/>
      <c r="F8" s="202"/>
      <c r="G8" s="202"/>
      <c r="H8" s="202"/>
      <c r="I8" s="202"/>
      <c r="J8" s="202"/>
      <c r="K8" s="203"/>
      <c r="M8" s="415" t="s">
        <v>111</v>
      </c>
      <c r="N8" s="415"/>
      <c r="O8" s="401"/>
      <c r="P8" s="401"/>
    </row>
    <row r="9" spans="1:16" ht="15" customHeight="1">
      <c r="A9" s="414" t="s">
        <v>112</v>
      </c>
      <c r="B9" s="414"/>
      <c r="C9" s="202" t="str">
        <f>VLOOKUP($O$2,Invoerenduet!$A$4:$DF$33,6,FALSE)</f>
        <v>Synchroteam Hellas Glana</v>
      </c>
      <c r="D9" s="202"/>
      <c r="E9" s="202"/>
      <c r="F9" s="202"/>
      <c r="G9" s="202"/>
      <c r="H9" s="202"/>
      <c r="I9" s="202"/>
      <c r="J9" s="202"/>
      <c r="K9" s="203"/>
      <c r="M9" s="415" t="s">
        <v>113</v>
      </c>
      <c r="N9" s="415"/>
      <c r="O9" s="401"/>
      <c r="P9" s="401"/>
    </row>
    <row r="10" spans="1:20" ht="15" customHeight="1">
      <c r="A10" s="194" t="s">
        <v>64</v>
      </c>
      <c r="B10" s="195"/>
      <c r="C10" s="407" t="s">
        <v>64</v>
      </c>
      <c r="D10" s="407"/>
      <c r="E10" s="407"/>
      <c r="F10" s="407"/>
      <c r="G10" s="407"/>
      <c r="H10" s="407"/>
      <c r="I10" s="407"/>
      <c r="J10" s="407"/>
      <c r="K10" s="204" t="s">
        <v>64</v>
      </c>
      <c r="L10" s="204" t="s">
        <v>64</v>
      </c>
      <c r="M10" s="408" t="s">
        <v>64</v>
      </c>
      <c r="N10" s="408"/>
      <c r="O10" s="409" t="s">
        <v>64</v>
      </c>
      <c r="P10" s="409"/>
      <c r="T10" s="190" t="s">
        <v>64</v>
      </c>
    </row>
    <row r="11" spans="1:19" ht="15" customHeight="1">
      <c r="A11" s="194"/>
      <c r="B11" s="195"/>
      <c r="C11" s="205" t="s">
        <v>114</v>
      </c>
      <c r="D11" s="410" t="s">
        <v>115</v>
      </c>
      <c r="E11" s="410"/>
      <c r="F11" s="410"/>
      <c r="G11" s="410"/>
      <c r="H11" s="410"/>
      <c r="I11" s="410"/>
      <c r="J11" s="410"/>
      <c r="K11" s="411" t="s">
        <v>116</v>
      </c>
      <c r="L11" s="411"/>
      <c r="M11" s="412" t="s">
        <v>117</v>
      </c>
      <c r="N11" s="412"/>
      <c r="O11" s="413" t="s">
        <v>118</v>
      </c>
      <c r="P11" s="413"/>
      <c r="Q11" s="206" t="s">
        <v>64</v>
      </c>
      <c r="R11" s="206"/>
      <c r="S11" s="190" t="s">
        <v>64</v>
      </c>
    </row>
    <row r="12" spans="1:18" ht="15" customHeight="1">
      <c r="A12" s="194" t="s">
        <v>119</v>
      </c>
      <c r="B12" s="195"/>
      <c r="C12" s="207">
        <v>1</v>
      </c>
      <c r="D12" s="401" t="str">
        <f>VLOOKUP($O$2,Invoerenduet!$A$4:$DF$33,7,FALSE)</f>
        <v>Debbie Geilen</v>
      </c>
      <c r="E12" s="401"/>
      <c r="F12" s="401"/>
      <c r="G12" s="401"/>
      <c r="H12" s="401"/>
      <c r="I12" s="401"/>
      <c r="J12" s="401"/>
      <c r="K12" s="401">
        <f>VLOOKUP($O$2,Invoerenduet!$A$4:$DF$33,8,FALSE)</f>
        <v>200400742</v>
      </c>
      <c r="L12" s="401"/>
      <c r="M12" s="402">
        <f>VLOOKUP($O$2,Invoerenduet!$A$4:$DF$33,69,FALSE)</f>
        <v>44.3645</v>
      </c>
      <c r="N12" s="402"/>
      <c r="O12" s="406">
        <f>VLOOKUP($O$2,Invoerenduet!$A$4:$DF$33,72,FALSE)</f>
        <v>44.3645</v>
      </c>
      <c r="P12" s="406"/>
      <c r="Q12" s="195"/>
      <c r="R12" s="195"/>
    </row>
    <row r="13" spans="1:18" ht="15" customHeight="1">
      <c r="A13" s="195"/>
      <c r="B13" s="195"/>
      <c r="C13" s="208">
        <v>2</v>
      </c>
      <c r="D13" s="401" t="str">
        <f>VLOOKUP($O$2,Invoerenduet!$A$4:$DF$33,10,FALSE)</f>
        <v>Sarah Molensky</v>
      </c>
      <c r="E13" s="401"/>
      <c r="F13" s="401"/>
      <c r="G13" s="401"/>
      <c r="H13" s="401"/>
      <c r="I13" s="401"/>
      <c r="J13" s="401"/>
      <c r="K13" s="401">
        <f>VLOOKUP($O$2,Invoerenduet!$A$4:$DF$33,11,FALSE)</f>
        <v>200301680</v>
      </c>
      <c r="L13" s="401"/>
      <c r="M13" s="402">
        <f>VLOOKUP($O$2,Invoerenduet!$A$4:$DF$33,70,FALSE)</f>
        <v>45.4533</v>
      </c>
      <c r="N13" s="402"/>
      <c r="O13" s="403">
        <f>VLOOKUP($O$2,Invoerenduet!$A$4:$DF$33,73,FALSE)</f>
        <v>45.4533</v>
      </c>
      <c r="P13" s="403"/>
      <c r="Q13" s="195"/>
      <c r="R13" s="195"/>
    </row>
    <row r="14" spans="1:18" ht="15" customHeight="1">
      <c r="A14" s="195"/>
      <c r="B14" s="195"/>
      <c r="C14" s="208">
        <v>3</v>
      </c>
      <c r="D14" s="401">
        <f>VLOOKUP($O$2,Invoerenduet!$A$4:$DF$33,13,FALSE)</f>
        <v>0</v>
      </c>
      <c r="E14" s="401"/>
      <c r="F14" s="401"/>
      <c r="G14" s="401"/>
      <c r="H14" s="401"/>
      <c r="I14" s="401"/>
      <c r="J14" s="401"/>
      <c r="K14" s="401">
        <f>VLOOKUP($O$2,Invoerenduet!$A$4:$DF$33,14,FALSE)</f>
        <v>0</v>
      </c>
      <c r="L14" s="401"/>
      <c r="M14" s="402">
        <f>VLOOKUP($O$2,Invoerenduet!$A$4:$DF$33,71,FALSE)</f>
        <v>0</v>
      </c>
      <c r="N14" s="402"/>
      <c r="O14" s="403">
        <f>VLOOKUP($O$2,Invoerenduet!$A$4:$DF$33,74,FALSE)</f>
      </c>
      <c r="P14" s="403"/>
      <c r="Q14" s="195"/>
      <c r="R14" s="195"/>
    </row>
    <row r="15" spans="1:18" ht="15" customHeight="1">
      <c r="A15" s="195"/>
      <c r="B15" s="195"/>
      <c r="C15" s="208">
        <v>4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402"/>
      <c r="O15" s="403"/>
      <c r="P15" s="403"/>
      <c r="Q15" s="195"/>
      <c r="R15" s="195"/>
    </row>
    <row r="16" spans="1:18" ht="15" customHeight="1">
      <c r="A16" s="195"/>
      <c r="B16" s="195"/>
      <c r="C16" s="208">
        <v>5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402"/>
      <c r="O16" s="403"/>
      <c r="P16" s="403"/>
      <c r="Q16" s="195"/>
      <c r="R16" s="195"/>
    </row>
    <row r="17" spans="1:18" ht="15" customHeight="1">
      <c r="A17" s="195"/>
      <c r="B17" s="195"/>
      <c r="C17" s="208">
        <v>6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402"/>
      <c r="O17" s="403"/>
      <c r="P17" s="403"/>
      <c r="Q17" s="195"/>
      <c r="R17" s="195"/>
    </row>
    <row r="18" spans="1:18" ht="15" customHeight="1">
      <c r="A18" s="195"/>
      <c r="B18" s="195"/>
      <c r="C18" s="208">
        <v>7</v>
      </c>
      <c r="D18" s="401"/>
      <c r="E18" s="401"/>
      <c r="F18" s="401"/>
      <c r="G18" s="401"/>
      <c r="H18" s="401"/>
      <c r="I18" s="401"/>
      <c r="J18" s="401"/>
      <c r="K18" s="401"/>
      <c r="L18" s="401"/>
      <c r="M18" s="402"/>
      <c r="N18" s="402"/>
      <c r="O18" s="403"/>
      <c r="P18" s="403"/>
      <c r="Q18" s="195"/>
      <c r="R18" s="195"/>
    </row>
    <row r="19" spans="1:18" ht="15" customHeight="1">
      <c r="A19" s="195"/>
      <c r="B19" s="195"/>
      <c r="C19" s="208">
        <v>8</v>
      </c>
      <c r="D19" s="401"/>
      <c r="E19" s="401"/>
      <c r="F19" s="401"/>
      <c r="G19" s="401"/>
      <c r="H19" s="401"/>
      <c r="I19" s="401"/>
      <c r="J19" s="401"/>
      <c r="K19" s="401"/>
      <c r="L19" s="401"/>
      <c r="M19" s="402"/>
      <c r="N19" s="402"/>
      <c r="O19" s="403"/>
      <c r="P19" s="403"/>
      <c r="Q19" s="195"/>
      <c r="R19" s="195"/>
    </row>
    <row r="20" spans="1:18" ht="15" customHeight="1">
      <c r="A20" s="195"/>
      <c r="B20" s="195"/>
      <c r="C20" s="208">
        <v>9</v>
      </c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N20" s="402"/>
      <c r="O20" s="403"/>
      <c r="P20" s="403"/>
      <c r="Q20" s="195"/>
      <c r="R20" s="195"/>
    </row>
    <row r="21" spans="1:18" ht="12.75">
      <c r="A21" s="195"/>
      <c r="B21" s="195"/>
      <c r="C21" s="208">
        <v>10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402"/>
      <c r="O21" s="403"/>
      <c r="P21" s="403"/>
      <c r="Q21" s="195"/>
      <c r="R21" s="195"/>
    </row>
    <row r="22" spans="1:18" ht="12.75">
      <c r="A22" s="195"/>
      <c r="B22" s="195"/>
      <c r="C22" s="208" t="s">
        <v>64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402"/>
      <c r="O22" s="403"/>
      <c r="P22" s="403"/>
      <c r="Q22" s="195"/>
      <c r="R22" s="195"/>
    </row>
    <row r="23" spans="1:18" ht="12.75">
      <c r="A23" s="195"/>
      <c r="B23" s="195"/>
      <c r="C23" s="209" t="s">
        <v>64</v>
      </c>
      <c r="D23" s="255"/>
      <c r="E23" s="256"/>
      <c r="F23" s="256"/>
      <c r="G23" s="256"/>
      <c r="H23" s="256"/>
      <c r="I23" s="256"/>
      <c r="J23" s="424" t="s">
        <v>170</v>
      </c>
      <c r="K23" s="424"/>
      <c r="L23" s="424"/>
      <c r="M23" s="402">
        <f>VLOOKUP($O$2,Invoerenduet!$A$4:$DF$33,79,FALSE)</f>
        <v>44.9089</v>
      </c>
      <c r="N23" s="402"/>
      <c r="O23" s="405"/>
      <c r="P23" s="405"/>
      <c r="Q23" s="195"/>
      <c r="R23" s="195"/>
    </row>
    <row r="24" spans="1:18" ht="12.75">
      <c r="A24" s="195"/>
      <c r="B24" s="195"/>
      <c r="C24" s="195"/>
      <c r="D24" s="195"/>
      <c r="E24" s="195"/>
      <c r="F24" s="195"/>
      <c r="G24" s="195"/>
      <c r="H24" s="397" t="s">
        <v>120</v>
      </c>
      <c r="I24" s="397"/>
      <c r="J24" s="397"/>
      <c r="K24" s="397"/>
      <c r="L24" s="397"/>
      <c r="M24" s="397"/>
      <c r="N24" s="397"/>
      <c r="O24" s="398">
        <f>SUM(O12:P23)</f>
        <v>89.8178</v>
      </c>
      <c r="P24" s="398"/>
      <c r="Q24" s="195"/>
      <c r="R24" s="195"/>
    </row>
    <row r="25" spans="10:16" ht="12.75">
      <c r="J25" s="210">
        <f>Invoerenduet!C1/100</f>
        <v>0.5</v>
      </c>
      <c r="K25" s="399" t="s">
        <v>171</v>
      </c>
      <c r="L25" s="399"/>
      <c r="M25" s="399"/>
      <c r="N25" s="399"/>
      <c r="O25" s="398">
        <f>IF(O24&gt;0,ROUND(AVERAGE(O12:O23)*J25,4),0)</f>
        <v>22.4545</v>
      </c>
      <c r="P25" s="398"/>
    </row>
    <row r="26" spans="10:16" ht="12.75">
      <c r="J26" s="211">
        <f>Invoerenduet!C3/100</f>
        <v>0</v>
      </c>
      <c r="K26" s="400" t="s">
        <v>122</v>
      </c>
      <c r="L26" s="400"/>
      <c r="M26" s="400"/>
      <c r="N26" s="400"/>
      <c r="O26" s="398">
        <f>ROUND(VLOOKUP($O$2,Invoerenduet!$A$4:$DF$33,19,FALSE)*J26,4)</f>
        <v>0</v>
      </c>
      <c r="P26" s="398"/>
    </row>
    <row r="27" spans="1:18" ht="39.75" customHeight="1">
      <c r="A27" s="392" t="s">
        <v>123</v>
      </c>
      <c r="B27" s="392"/>
      <c r="C27" s="392"/>
      <c r="D27" s="212" t="s">
        <v>81</v>
      </c>
      <c r="E27" s="213" t="s">
        <v>124</v>
      </c>
      <c r="F27" s="213" t="s">
        <v>125</v>
      </c>
      <c r="G27" s="213" t="s">
        <v>126</v>
      </c>
      <c r="H27" s="213" t="s">
        <v>127</v>
      </c>
      <c r="I27" s="213" t="s">
        <v>128</v>
      </c>
      <c r="J27" s="214" t="s">
        <v>129</v>
      </c>
      <c r="K27" s="393" t="s">
        <v>130</v>
      </c>
      <c r="L27" s="393"/>
      <c r="M27" s="394" t="s">
        <v>131</v>
      </c>
      <c r="N27" s="394"/>
      <c r="O27" s="215" t="s">
        <v>64</v>
      </c>
      <c r="P27" s="215" t="s">
        <v>64</v>
      </c>
      <c r="Q27" s="195"/>
      <c r="R27" s="195"/>
    </row>
    <row r="28" spans="1:18" s="219" customFormat="1" ht="34.5" customHeight="1">
      <c r="A28" s="395" t="s">
        <v>132</v>
      </c>
      <c r="B28" s="395"/>
      <c r="C28" s="395"/>
      <c r="D28" s="216">
        <v>0.3</v>
      </c>
      <c r="E28" s="217">
        <f>VLOOKUP($O$2,Invoerenduet!$A$4:$DF$33,28,FALSE)</f>
        <v>4.5</v>
      </c>
      <c r="F28" s="217">
        <f>VLOOKUP($O$2,Invoerenduet!$A$4:$DF$33,29,FALSE)</f>
        <v>4.8</v>
      </c>
      <c r="G28" s="217">
        <f>VLOOKUP($O$2,Invoerenduet!$A$4:$DF$33,30,FALSE)</f>
        <v>4.5</v>
      </c>
      <c r="H28" s="217">
        <f>VLOOKUP($O$2,Invoerenduet!$A$4:$DF$33,31,FALSE)</f>
        <v>4.2</v>
      </c>
      <c r="I28" s="217">
        <f>VLOOKUP($O$2,Invoerenduet!$A$4:$DF$33,32,FALSE)</f>
        <v>4.9</v>
      </c>
      <c r="J28" s="214">
        <f>VLOOKUP($O$2,Invoerenduet!$A$4:$DF$33,33,FALSE)</f>
        <v>13.8</v>
      </c>
      <c r="K28" s="389">
        <f>J28/3</f>
        <v>4.6000000000000005</v>
      </c>
      <c r="L28" s="389"/>
      <c r="M28" s="396">
        <v>3</v>
      </c>
      <c r="N28" s="396"/>
      <c r="O28" s="387">
        <f>ROUND(K28*10*D28,4)</f>
        <v>13.8</v>
      </c>
      <c r="P28" s="387"/>
      <c r="Q28" s="218"/>
      <c r="R28" s="218"/>
    </row>
    <row r="29" spans="1:18" ht="34.5" customHeight="1">
      <c r="A29" s="388" t="s">
        <v>133</v>
      </c>
      <c r="B29" s="388"/>
      <c r="C29" s="388"/>
      <c r="D29" s="220">
        <v>0.4</v>
      </c>
      <c r="E29" s="217">
        <f>VLOOKUP($O$2,Invoerenduet!$A$4:$DF$33,41,FALSE)</f>
        <v>4.4</v>
      </c>
      <c r="F29" s="221">
        <f>VLOOKUP($O$2,Invoerenduet!$A$4:$DF$33,42,FALSE)</f>
        <v>5.2</v>
      </c>
      <c r="G29" s="217">
        <f>VLOOKUP($O$2,Invoerenduet!$A$4:$DF$33,43,FALSE)</f>
        <v>4.8</v>
      </c>
      <c r="H29" s="221">
        <f>VLOOKUP($O$2,Invoerenduet!$A$4:$DF$33,44,FALSE)</f>
        <v>4.6</v>
      </c>
      <c r="I29" s="217">
        <f>VLOOKUP($O$2,Invoerenduet!$A$4:$DF$33,45,FALSE)</f>
        <v>4.5</v>
      </c>
      <c r="J29" s="213">
        <f>VLOOKUP($O$2,Invoerenduet!$A$4:$DF$33,46,FALSE)</f>
        <v>13.9</v>
      </c>
      <c r="K29" s="389">
        <f>J29/3</f>
        <v>4.633333333333334</v>
      </c>
      <c r="L29" s="389"/>
      <c r="M29" s="390">
        <v>4</v>
      </c>
      <c r="N29" s="390"/>
      <c r="O29" s="387">
        <f>ROUND(K29*10*D29,4)</f>
        <v>18.5333</v>
      </c>
      <c r="P29" s="387"/>
      <c r="Q29" s="195"/>
      <c r="R29" s="195"/>
    </row>
    <row r="30" spans="1:18" ht="34.5" customHeight="1">
      <c r="A30" s="391" t="s">
        <v>7</v>
      </c>
      <c r="B30" s="391"/>
      <c r="C30" s="391"/>
      <c r="D30" s="220">
        <v>0.3</v>
      </c>
      <c r="E30" s="217">
        <f>VLOOKUP($O$2,Invoerenduet!$A$4:$DF$33,54,FALSE)</f>
        <v>4.6</v>
      </c>
      <c r="F30" s="221">
        <f>VLOOKUP($O$2,Invoerenduet!$A$4:$DF$33,55,FALSE)</f>
        <v>4.4</v>
      </c>
      <c r="G30" s="217">
        <f>VLOOKUP($O$2,Invoerenduet!$A$4:$DF$33,56,FALSE)</f>
        <v>4.3</v>
      </c>
      <c r="H30" s="221">
        <f>VLOOKUP($O$2,Invoerenduet!$A$4:$DF$33,57,FALSE)</f>
        <v>4.8</v>
      </c>
      <c r="I30" s="217">
        <f>VLOOKUP($O$2,Invoerenduet!$A$4:$DF$33,58,FALSE)</f>
        <v>4.5</v>
      </c>
      <c r="J30" s="213">
        <f>VLOOKUP($O$2,Invoerenduet!$A$4:$DF$33,59,FALSE)</f>
        <v>13.5</v>
      </c>
      <c r="K30" s="389">
        <f>J30/3</f>
        <v>4.5</v>
      </c>
      <c r="L30" s="389"/>
      <c r="M30" s="390">
        <v>3</v>
      </c>
      <c r="N30" s="390"/>
      <c r="O30" s="387">
        <f>ROUND(K30*10*D30,4)</f>
        <v>13.5</v>
      </c>
      <c r="P30" s="387"/>
      <c r="Q30" s="195"/>
      <c r="R30" s="195"/>
    </row>
    <row r="31" spans="1:18" ht="12" customHeight="1">
      <c r="A31" s="382" t="s">
        <v>64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3" t="s">
        <v>17</v>
      </c>
      <c r="N31" s="383"/>
      <c r="O31" s="384">
        <f>SUM(O28:P30)</f>
        <v>45.8333</v>
      </c>
      <c r="P31" s="384"/>
      <c r="Q31" s="222"/>
      <c r="R31" s="223"/>
    </row>
    <row r="32" spans="1:18" ht="12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3"/>
      <c r="N32" s="383"/>
      <c r="O32" s="384"/>
      <c r="P32" s="384"/>
      <c r="Q32" s="222"/>
      <c r="R32" s="223"/>
    </row>
    <row r="33" spans="1:18" ht="15">
      <c r="A33" s="224"/>
      <c r="B33" s="224"/>
      <c r="C33" s="225"/>
      <c r="D33" s="225"/>
      <c r="E33" s="225"/>
      <c r="F33" s="225"/>
      <c r="G33" s="225"/>
      <c r="H33" s="225"/>
      <c r="I33" s="225"/>
      <c r="J33" s="215"/>
      <c r="K33" s="215"/>
      <c r="L33" s="226"/>
      <c r="M33" s="227"/>
      <c r="N33" s="227"/>
      <c r="O33" s="215"/>
      <c r="P33" s="215"/>
      <c r="Q33" s="222"/>
      <c r="R33" s="223"/>
    </row>
    <row r="34" spans="1:18" ht="12.75">
      <c r="A34" s="228" t="s">
        <v>134</v>
      </c>
      <c r="B34" s="229"/>
      <c r="C34" s="229"/>
      <c r="D34" s="229"/>
      <c r="E34" s="230"/>
      <c r="F34" s="231" t="s">
        <v>135</v>
      </c>
      <c r="G34" s="232"/>
      <c r="H34" s="232"/>
      <c r="I34" s="233"/>
      <c r="J34" s="234">
        <v>4</v>
      </c>
      <c r="K34" s="234">
        <v>5</v>
      </c>
      <c r="L34" s="235">
        <v>6</v>
      </c>
      <c r="M34" s="234">
        <v>7</v>
      </c>
      <c r="N34" s="236">
        <v>8</v>
      </c>
      <c r="O34" s="237"/>
      <c r="P34" s="238"/>
      <c r="Q34" s="194"/>
      <c r="R34" s="194"/>
    </row>
    <row r="35" spans="1:18" ht="12.75">
      <c r="A35" s="194"/>
      <c r="B35" s="194"/>
      <c r="C35" s="194"/>
      <c r="D35" s="194"/>
      <c r="E35" s="194"/>
      <c r="F35" s="239" t="s">
        <v>136</v>
      </c>
      <c r="G35" s="240"/>
      <c r="H35" s="240"/>
      <c r="I35" s="240"/>
      <c r="J35" s="241">
        <v>-2</v>
      </c>
      <c r="K35" s="241">
        <v>-1.5</v>
      </c>
      <c r="L35" s="241">
        <v>-1</v>
      </c>
      <c r="M35" s="241">
        <v>-0.5</v>
      </c>
      <c r="N35" s="242">
        <v>0</v>
      </c>
      <c r="O35" s="385"/>
      <c r="P35" s="385"/>
      <c r="Q35" s="194"/>
      <c r="R35" s="194"/>
    </row>
    <row r="36" spans="1:18" ht="15" customHeight="1">
      <c r="A36" s="386" t="s">
        <v>137</v>
      </c>
      <c r="B36" s="374" t="s">
        <v>138</v>
      </c>
      <c r="C36" s="374" t="s">
        <v>139</v>
      </c>
      <c r="D36" s="374"/>
      <c r="E36" s="374" t="s">
        <v>140</v>
      </c>
      <c r="F36" s="374"/>
      <c r="G36" s="374" t="s">
        <v>141</v>
      </c>
      <c r="H36" s="374"/>
      <c r="I36" s="374" t="s">
        <v>142</v>
      </c>
      <c r="J36" s="374"/>
      <c r="K36" s="374" t="s">
        <v>143</v>
      </c>
      <c r="L36" s="374"/>
      <c r="M36" s="375" t="s">
        <v>144</v>
      </c>
      <c r="N36" s="375"/>
      <c r="O36" s="376"/>
      <c r="P36" s="376"/>
      <c r="Q36" s="194"/>
      <c r="R36" s="194"/>
    </row>
    <row r="37" spans="1:18" ht="15" customHeight="1">
      <c r="A37" s="386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5"/>
      <c r="N37" s="375"/>
      <c r="O37" s="376"/>
      <c r="P37" s="376"/>
      <c r="Q37" s="194"/>
      <c r="R37" s="194"/>
    </row>
    <row r="38" spans="1:18" ht="12.75">
      <c r="A38" s="243"/>
      <c r="B38" s="244"/>
      <c r="C38" s="377"/>
      <c r="D38" s="377"/>
      <c r="E38" s="378"/>
      <c r="F38" s="378"/>
      <c r="G38" s="379" t="s">
        <v>145</v>
      </c>
      <c r="H38" s="379"/>
      <c r="I38" s="379" t="s">
        <v>146</v>
      </c>
      <c r="J38" s="379"/>
      <c r="K38" s="379" t="s">
        <v>146</v>
      </c>
      <c r="L38" s="379"/>
      <c r="M38" s="380" t="s">
        <v>146</v>
      </c>
      <c r="N38" s="380"/>
      <c r="O38" s="423">
        <f>VLOOKUP($O$2,Invoerenduet!$A$4:$DF$33,62,FALSE)*-1</f>
        <v>0</v>
      </c>
      <c r="P38" s="423">
        <f>VLOOKUP($O$2,Invoerenploeg!$A$4:$EA$33,48,FALSE)</f>
        <v>15.000000000000004</v>
      </c>
      <c r="Q38" s="215" t="s">
        <v>64</v>
      </c>
      <c r="R38" s="215"/>
    </row>
    <row r="39" spans="1:16" ht="17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245" t="s">
        <v>147</v>
      </c>
      <c r="O39" s="372">
        <f>O31+O35+O38</f>
        <v>45.8333</v>
      </c>
      <c r="P39" s="372"/>
    </row>
    <row r="40" spans="1:16" ht="17.25" customHeight="1">
      <c r="A40" s="194" t="s">
        <v>148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45" t="s">
        <v>149</v>
      </c>
      <c r="O40" s="372">
        <f>O39+O26+O25</f>
        <v>68.2878</v>
      </c>
      <c r="P40" s="372"/>
    </row>
    <row r="41" spans="1:16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45" t="s">
        <v>150</v>
      </c>
      <c r="O41" s="373"/>
      <c r="P41" s="373"/>
    </row>
    <row r="42" ht="12">
      <c r="A42" s="246" t="s">
        <v>151</v>
      </c>
    </row>
  </sheetData>
  <sheetProtection password="EC4E" sheet="1" objects="1" scenarios="1"/>
  <mergeCells count="123">
    <mergeCell ref="P1:Q1"/>
    <mergeCell ref="M2:N2"/>
    <mergeCell ref="O2:P2"/>
    <mergeCell ref="C3:L3"/>
    <mergeCell ref="M3:N3"/>
    <mergeCell ref="O3:P3"/>
    <mergeCell ref="A4:B4"/>
    <mergeCell ref="C4:L4"/>
    <mergeCell ref="M4:N4"/>
    <mergeCell ref="O4:P4"/>
    <mergeCell ref="C5:L5"/>
    <mergeCell ref="M5:N5"/>
    <mergeCell ref="O5:P5"/>
    <mergeCell ref="A6:B6"/>
    <mergeCell ref="M6:N6"/>
    <mergeCell ref="O6:P6"/>
    <mergeCell ref="K7:L7"/>
    <mergeCell ref="M7:N7"/>
    <mergeCell ref="O7:P7"/>
    <mergeCell ref="A8:B8"/>
    <mergeCell ref="M8:N8"/>
    <mergeCell ref="O8:P8"/>
    <mergeCell ref="A9:B9"/>
    <mergeCell ref="M9:N9"/>
    <mergeCell ref="O9:P9"/>
    <mergeCell ref="C10:J10"/>
    <mergeCell ref="M10:N10"/>
    <mergeCell ref="O10:P10"/>
    <mergeCell ref="D11:J11"/>
    <mergeCell ref="K11:L11"/>
    <mergeCell ref="M11:N11"/>
    <mergeCell ref="O11:P11"/>
    <mergeCell ref="D12:J12"/>
    <mergeCell ref="K12:L12"/>
    <mergeCell ref="M12:N12"/>
    <mergeCell ref="O12:P12"/>
    <mergeCell ref="D13:J13"/>
    <mergeCell ref="K13:L13"/>
    <mergeCell ref="M13:N13"/>
    <mergeCell ref="O13:P13"/>
    <mergeCell ref="D14:J14"/>
    <mergeCell ref="K14:L14"/>
    <mergeCell ref="M14:N14"/>
    <mergeCell ref="O14:P14"/>
    <mergeCell ref="D15:J15"/>
    <mergeCell ref="K15:L15"/>
    <mergeCell ref="M15:N15"/>
    <mergeCell ref="O15:P15"/>
    <mergeCell ref="D16:J16"/>
    <mergeCell ref="K16:L16"/>
    <mergeCell ref="M16:N16"/>
    <mergeCell ref="O16:P16"/>
    <mergeCell ref="D17:J17"/>
    <mergeCell ref="K17:L17"/>
    <mergeCell ref="M17:N17"/>
    <mergeCell ref="O17:P17"/>
    <mergeCell ref="D18:J18"/>
    <mergeCell ref="K18:L18"/>
    <mergeCell ref="M18:N18"/>
    <mergeCell ref="O18:P18"/>
    <mergeCell ref="D19:J19"/>
    <mergeCell ref="K19:L19"/>
    <mergeCell ref="M19:N19"/>
    <mergeCell ref="O19:P19"/>
    <mergeCell ref="D20:J20"/>
    <mergeCell ref="K20:L20"/>
    <mergeCell ref="M20:N20"/>
    <mergeCell ref="O20:P20"/>
    <mergeCell ref="D21:J21"/>
    <mergeCell ref="K21:L21"/>
    <mergeCell ref="M21:N21"/>
    <mergeCell ref="O21:P21"/>
    <mergeCell ref="D22:J22"/>
    <mergeCell ref="K22:L22"/>
    <mergeCell ref="M22:N22"/>
    <mergeCell ref="O22:P22"/>
    <mergeCell ref="J23:L23"/>
    <mergeCell ref="M23:N23"/>
    <mergeCell ref="O23:P23"/>
    <mergeCell ref="H24:N24"/>
    <mergeCell ref="O24:P24"/>
    <mergeCell ref="K25:N25"/>
    <mergeCell ref="O25:P25"/>
    <mergeCell ref="K26:N26"/>
    <mergeCell ref="O26:P26"/>
    <mergeCell ref="A27:C27"/>
    <mergeCell ref="K27:L27"/>
    <mergeCell ref="M27:N27"/>
    <mergeCell ref="A28:C28"/>
    <mergeCell ref="K28:L28"/>
    <mergeCell ref="M28:N28"/>
    <mergeCell ref="O28:P28"/>
    <mergeCell ref="A29:C29"/>
    <mergeCell ref="K29:L29"/>
    <mergeCell ref="M29:N29"/>
    <mergeCell ref="O29:P29"/>
    <mergeCell ref="A30:C30"/>
    <mergeCell ref="K30:L30"/>
    <mergeCell ref="M30:N30"/>
    <mergeCell ref="O30:P30"/>
    <mergeCell ref="A31:L32"/>
    <mergeCell ref="M31:N32"/>
    <mergeCell ref="O31:P32"/>
    <mergeCell ref="O35:P35"/>
    <mergeCell ref="A36:A37"/>
    <mergeCell ref="B36:B37"/>
    <mergeCell ref="C36:D37"/>
    <mergeCell ref="E36:F37"/>
    <mergeCell ref="G36:H37"/>
    <mergeCell ref="I36:J37"/>
    <mergeCell ref="C38:D38"/>
    <mergeCell ref="E38:F38"/>
    <mergeCell ref="G38:H38"/>
    <mergeCell ref="I38:J38"/>
    <mergeCell ref="K38:L38"/>
    <mergeCell ref="M38:N38"/>
    <mergeCell ref="O39:P39"/>
    <mergeCell ref="O40:P40"/>
    <mergeCell ref="O41:P41"/>
    <mergeCell ref="K36:L37"/>
    <mergeCell ref="M36:N37"/>
    <mergeCell ref="O36:P37"/>
    <mergeCell ref="O38:P38"/>
  </mergeCells>
  <conditionalFormatting sqref="E28:I28">
    <cfRule type="expression" priority="1" dxfId="16" stopIfTrue="1">
      <formula>"max(r28k5:r28k9)"</formula>
    </cfRule>
  </conditionalFormatting>
  <conditionalFormatting sqref="I29">
    <cfRule type="expression" priority="2" dxfId="16" stopIfTrue="1">
      <formula>"max(r28k5:r28k9)"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DM24"/>
  <sheetViews>
    <sheetView showZeros="0" view="pageBreakPreview" zoomScaleSheetLayoutView="100" zoomScalePageLayoutView="0" workbookViewId="0" topLeftCell="A1">
      <selection activeCell="AA17" sqref="AA17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8.625" style="0" customWidth="1"/>
    <col min="4" max="4" width="21.00390625" style="0" customWidth="1"/>
    <col min="6" max="6" width="5.00390625" style="0" customWidth="1"/>
    <col min="7" max="7" width="6.875" style="0" customWidth="1"/>
    <col min="8" max="8" width="8.25390625" style="0" customWidth="1"/>
    <col min="9" max="9" width="5.375" style="0" customWidth="1"/>
    <col min="10" max="10" width="9.25390625" style="0" customWidth="1"/>
    <col min="11" max="11" width="6.00390625" style="0" customWidth="1"/>
    <col min="12" max="17" width="4.125" style="0" customWidth="1"/>
    <col min="18" max="21" width="4.375" style="0" customWidth="1"/>
    <col min="22" max="22" width="7.125" style="0" customWidth="1"/>
    <col min="23" max="23" width="8.125" style="0" customWidth="1"/>
    <col min="25" max="25" width="5.125" style="0" customWidth="1"/>
    <col min="26" max="30" width="4.125" style="0" customWidth="1"/>
    <col min="31" max="34" width="4.375" style="0" customWidth="1"/>
    <col min="35" max="35" width="7.125" style="0" customWidth="1"/>
    <col min="36" max="36" width="8.125" style="0" customWidth="1"/>
    <col min="38" max="38" width="5.125" style="0" customWidth="1"/>
    <col min="39" max="43" width="4.125" style="0" customWidth="1"/>
    <col min="44" max="47" width="4.375" style="0" customWidth="1"/>
    <col min="48" max="48" width="7.125" style="0" customWidth="1"/>
    <col min="49" max="49" width="8.125" style="0" customWidth="1"/>
    <col min="51" max="53" width="6.875" style="0" customWidth="1"/>
    <col min="54" max="54" width="9.25390625" style="0" customWidth="1"/>
    <col min="55" max="55" width="9.75390625" style="0" customWidth="1"/>
    <col min="56" max="56" width="9.25390625" style="0" customWidth="1"/>
    <col min="57" max="57" width="9.75390625" style="0" customWidth="1"/>
    <col min="58" max="58" width="9.875" style="0" customWidth="1"/>
    <col min="59" max="59" width="18.875" style="0" customWidth="1"/>
    <col min="60" max="60" width="11.00390625" style="0" customWidth="1"/>
    <col min="61" max="61" width="6.25390625" style="0" customWidth="1"/>
    <col min="62" max="62" width="18.875" style="0" customWidth="1"/>
    <col min="63" max="63" width="10.00390625" style="0" customWidth="1"/>
    <col min="64" max="64" width="6.25390625" style="0" customWidth="1"/>
    <col min="65" max="65" width="18.875" style="0" customWidth="1"/>
    <col min="66" max="66" width="10.00390625" style="0" customWidth="1"/>
    <col min="67" max="67" width="7.25390625" style="0" customWidth="1"/>
    <col min="68" max="68" width="18.875" style="0" customWidth="1"/>
    <col min="69" max="69" width="10.00390625" style="0" customWidth="1"/>
    <col min="70" max="70" width="7.25390625" style="0" customWidth="1"/>
    <col min="71" max="71" width="18.875" style="0" customWidth="1"/>
    <col min="72" max="72" width="10.00390625" style="0" customWidth="1"/>
    <col min="73" max="73" width="7.25390625" style="0" customWidth="1"/>
    <col min="74" max="74" width="18.875" style="0" customWidth="1"/>
    <col min="75" max="75" width="10.00390625" style="0" customWidth="1"/>
    <col min="76" max="76" width="7.25390625" style="0" customWidth="1"/>
    <col min="77" max="77" width="18.875" style="0" customWidth="1"/>
    <col min="78" max="78" width="10.00390625" style="0" customWidth="1"/>
    <col min="79" max="79" width="7.25390625" style="0" customWidth="1"/>
    <col min="80" max="80" width="18.875" style="0" customWidth="1"/>
    <col min="81" max="81" width="10.00390625" style="0" customWidth="1"/>
    <col min="82" max="82" width="7.25390625" style="0" customWidth="1"/>
    <col min="83" max="83" width="18.875" style="0" customWidth="1"/>
    <col min="84" max="84" width="10.00390625" style="0" customWidth="1"/>
    <col min="85" max="85" width="7.25390625" style="0" customWidth="1"/>
    <col min="86" max="86" width="18.875" style="0" customWidth="1"/>
    <col min="87" max="87" width="10.00390625" style="0" customWidth="1"/>
    <col min="88" max="88" width="7.25390625" style="0" customWidth="1"/>
    <col min="89" max="90" width="20.875" style="0" customWidth="1"/>
    <col min="91" max="99" width="7.375" style="0" customWidth="1"/>
    <col min="100" max="100" width="8.375" style="0" customWidth="1"/>
    <col min="101" max="110" width="7.625" style="0" customWidth="1"/>
    <col min="111" max="111" width="8.625" style="0" customWidth="1"/>
    <col min="112" max="112" width="10.00390625" style="0" customWidth="1"/>
    <col min="113" max="113" width="6.375" style="0" customWidth="1"/>
    <col min="114" max="114" width="7.375" style="0" customWidth="1"/>
    <col min="115" max="115" width="8.875" style="0" customWidth="1"/>
    <col min="116" max="116" width="5.375" style="0" customWidth="1"/>
    <col min="117" max="117" width="37.625" style="0" customWidth="1"/>
  </cols>
  <sheetData>
    <row r="1" spans="1:59" ht="12.75">
      <c r="A1" s="3"/>
      <c r="C1" s="4">
        <v>50</v>
      </c>
      <c r="D1" s="5" t="s">
        <v>0</v>
      </c>
      <c r="G1" s="6" t="s">
        <v>1</v>
      </c>
      <c r="H1" s="3">
        <f>COUNTIF(BH5:BH34,"&gt;0")</f>
        <v>3</v>
      </c>
      <c r="I1" s="3"/>
      <c r="J1" s="3"/>
      <c r="K1" s="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F1" s="7" t="s">
        <v>2</v>
      </c>
      <c r="BG1" s="7"/>
    </row>
    <row r="2" spans="1:100" ht="12.75">
      <c r="A2" s="10"/>
      <c r="C2" s="4">
        <v>50</v>
      </c>
      <c r="D2" s="5" t="s">
        <v>3</v>
      </c>
      <c r="H2" s="3"/>
      <c r="I2" s="3"/>
      <c r="J2" s="3"/>
      <c r="K2" s="3"/>
      <c r="L2" s="359" t="s">
        <v>132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60" t="s">
        <v>172</v>
      </c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1" t="s">
        <v>7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8"/>
      <c r="AZ2" s="8"/>
      <c r="BA2" s="8"/>
      <c r="BF2" s="8" t="s">
        <v>4</v>
      </c>
      <c r="BG2" s="7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1:100" ht="15.75">
      <c r="A3" s="247" t="s">
        <v>109</v>
      </c>
      <c r="C3" s="4">
        <v>0</v>
      </c>
      <c r="D3" s="5" t="s">
        <v>9</v>
      </c>
      <c r="E3" s="427"/>
      <c r="F3" s="427"/>
      <c r="G3" s="427"/>
      <c r="H3" s="427"/>
      <c r="I3" s="427"/>
      <c r="J3" s="3"/>
      <c r="K3" s="3"/>
      <c r="L3" s="364" t="s">
        <v>13</v>
      </c>
      <c r="M3" s="364"/>
      <c r="N3" s="364"/>
      <c r="O3" s="364"/>
      <c r="P3" s="364"/>
      <c r="Q3" s="365" t="s">
        <v>14</v>
      </c>
      <c r="R3" s="365"/>
      <c r="S3" s="365"/>
      <c r="T3" s="365"/>
      <c r="U3" s="365"/>
      <c r="V3" s="365"/>
      <c r="W3" s="365"/>
      <c r="X3" s="20">
        <v>0.3</v>
      </c>
      <c r="Y3" s="364" t="s">
        <v>13</v>
      </c>
      <c r="Z3" s="364"/>
      <c r="AA3" s="364"/>
      <c r="AB3" s="364"/>
      <c r="AC3" s="364"/>
      <c r="AD3" s="366" t="s">
        <v>14</v>
      </c>
      <c r="AE3" s="366"/>
      <c r="AF3" s="366"/>
      <c r="AG3" s="366"/>
      <c r="AH3" s="366"/>
      <c r="AI3" s="366"/>
      <c r="AJ3" s="366"/>
      <c r="AK3" s="20">
        <v>0.4</v>
      </c>
      <c r="AL3" s="364" t="s">
        <v>13</v>
      </c>
      <c r="AM3" s="364"/>
      <c r="AN3" s="364"/>
      <c r="AO3" s="364"/>
      <c r="AP3" s="364"/>
      <c r="AQ3" s="18" t="s">
        <v>14</v>
      </c>
      <c r="AR3" s="19"/>
      <c r="AS3" s="19"/>
      <c r="AT3" s="19"/>
      <c r="AU3" s="19"/>
      <c r="AV3" s="19"/>
      <c r="AW3" s="19"/>
      <c r="AX3" s="20">
        <v>0.3</v>
      </c>
      <c r="AY3" s="426" t="s">
        <v>173</v>
      </c>
      <c r="AZ3" s="426"/>
      <c r="BA3" s="426"/>
      <c r="BB3" s="22"/>
      <c r="BC3" s="22"/>
      <c r="BD3" s="22"/>
      <c r="BE3" s="22"/>
      <c r="BF3" s="8" t="s">
        <v>12</v>
      </c>
      <c r="BG3" s="425" t="s">
        <v>10</v>
      </c>
      <c r="BH3" s="425"/>
      <c r="BI3" s="425"/>
      <c r="BJ3" s="425" t="s">
        <v>11</v>
      </c>
      <c r="BK3" s="425"/>
      <c r="BL3" s="425"/>
      <c r="BM3" s="425" t="s">
        <v>152</v>
      </c>
      <c r="BN3" s="425"/>
      <c r="BO3" s="425"/>
      <c r="BP3" s="425" t="s">
        <v>174</v>
      </c>
      <c r="BQ3" s="425"/>
      <c r="BR3" s="425"/>
      <c r="BS3" s="425" t="s">
        <v>175</v>
      </c>
      <c r="BT3" s="425"/>
      <c r="BU3" s="425"/>
      <c r="BV3" s="425" t="s">
        <v>176</v>
      </c>
      <c r="BW3" s="425"/>
      <c r="BX3" s="425"/>
      <c r="BY3" s="425" t="s">
        <v>177</v>
      </c>
      <c r="BZ3" s="425"/>
      <c r="CA3" s="425"/>
      <c r="CB3" s="425" t="s">
        <v>178</v>
      </c>
      <c r="CC3" s="425"/>
      <c r="CD3" s="425"/>
      <c r="CE3" s="425" t="s">
        <v>179</v>
      </c>
      <c r="CF3" s="425"/>
      <c r="CG3" s="425"/>
      <c r="CH3" s="425" t="s">
        <v>180</v>
      </c>
      <c r="CI3" s="425"/>
      <c r="CJ3" s="425"/>
      <c r="CK3" s="22"/>
      <c r="CL3" s="22"/>
      <c r="CM3" s="23"/>
      <c r="CN3" s="23"/>
      <c r="CO3" s="23"/>
      <c r="CP3" s="23"/>
      <c r="CQ3" s="23"/>
      <c r="CR3" s="23"/>
      <c r="CS3" s="23"/>
      <c r="CT3" s="23"/>
      <c r="CU3" s="23"/>
      <c r="CV3" s="23"/>
    </row>
    <row r="4" spans="1:117" ht="48">
      <c r="A4" s="24" t="s">
        <v>15</v>
      </c>
      <c r="B4" s="24" t="s">
        <v>16</v>
      </c>
      <c r="C4" s="24" t="s">
        <v>17</v>
      </c>
      <c r="D4" s="24" t="s">
        <v>18</v>
      </c>
      <c r="E4" s="25" t="s">
        <v>27</v>
      </c>
      <c r="F4" s="25" t="s">
        <v>28</v>
      </c>
      <c r="G4" s="25" t="s">
        <v>181</v>
      </c>
      <c r="H4" s="25" t="s">
        <v>29</v>
      </c>
      <c r="I4" s="25" t="s">
        <v>30</v>
      </c>
      <c r="J4" s="25" t="s">
        <v>31</v>
      </c>
      <c r="K4" s="25" t="s">
        <v>32</v>
      </c>
      <c r="L4" s="26" t="s">
        <v>33</v>
      </c>
      <c r="M4" s="27" t="s">
        <v>34</v>
      </c>
      <c r="N4" s="27" t="s">
        <v>35</v>
      </c>
      <c r="O4" s="27" t="s">
        <v>36</v>
      </c>
      <c r="P4" s="27" t="s">
        <v>37</v>
      </c>
      <c r="Q4" s="28" t="s">
        <v>33</v>
      </c>
      <c r="R4" s="29" t="s">
        <v>34</v>
      </c>
      <c r="S4" s="29" t="s">
        <v>35</v>
      </c>
      <c r="T4" s="29" t="s">
        <v>36</v>
      </c>
      <c r="U4" s="29" t="s">
        <v>37</v>
      </c>
      <c r="V4" s="29" t="s">
        <v>38</v>
      </c>
      <c r="W4" s="30" t="s">
        <v>41</v>
      </c>
      <c r="X4" s="31" t="s">
        <v>182</v>
      </c>
      <c r="Y4" s="26" t="s">
        <v>33</v>
      </c>
      <c r="Z4" s="27" t="s">
        <v>34</v>
      </c>
      <c r="AA4" s="27" t="s">
        <v>35</v>
      </c>
      <c r="AB4" s="27" t="s">
        <v>36</v>
      </c>
      <c r="AC4" s="27" t="s">
        <v>37</v>
      </c>
      <c r="AD4" s="32" t="s">
        <v>33</v>
      </c>
      <c r="AE4" s="33" t="s">
        <v>34</v>
      </c>
      <c r="AF4" s="33" t="s">
        <v>35</v>
      </c>
      <c r="AG4" s="33" t="s">
        <v>36</v>
      </c>
      <c r="AH4" s="33" t="s">
        <v>37</v>
      </c>
      <c r="AI4" s="33" t="s">
        <v>38</v>
      </c>
      <c r="AJ4" s="34" t="s">
        <v>43</v>
      </c>
      <c r="AK4" s="35" t="s">
        <v>44</v>
      </c>
      <c r="AL4" s="26" t="s">
        <v>33</v>
      </c>
      <c r="AM4" s="27" t="s">
        <v>34</v>
      </c>
      <c r="AN4" s="27" t="s">
        <v>35</v>
      </c>
      <c r="AO4" s="27" t="s">
        <v>36</v>
      </c>
      <c r="AP4" s="27" t="s">
        <v>37</v>
      </c>
      <c r="AQ4" s="36" t="s">
        <v>33</v>
      </c>
      <c r="AR4" s="37" t="s">
        <v>34</v>
      </c>
      <c r="AS4" s="37" t="s">
        <v>35</v>
      </c>
      <c r="AT4" s="37" t="s">
        <v>36</v>
      </c>
      <c r="AU4" s="37" t="s">
        <v>37</v>
      </c>
      <c r="AV4" s="37" t="s">
        <v>38</v>
      </c>
      <c r="AW4" s="38" t="s">
        <v>43</v>
      </c>
      <c r="AX4" s="39" t="s">
        <v>44</v>
      </c>
      <c r="AY4" s="40" t="s">
        <v>45</v>
      </c>
      <c r="AZ4" s="257" t="s">
        <v>109</v>
      </c>
      <c r="BA4" s="41" t="s">
        <v>46</v>
      </c>
      <c r="BB4" s="41" t="s">
        <v>47</v>
      </c>
      <c r="BC4" s="41" t="str">
        <f>CONCATENATE(C3,"% Tech. Uitvoering")</f>
        <v>0% Tech. Uitvoering</v>
      </c>
      <c r="BD4" s="41" t="str">
        <f>CONCATENATE(C2,"% uitvoering")</f>
        <v>50% uitvoering</v>
      </c>
      <c r="BE4" s="41" t="str">
        <f>CONCATENATE(C1,"% Techniek")</f>
        <v>50% Techniek</v>
      </c>
      <c r="BF4" s="41" t="s">
        <v>48</v>
      </c>
      <c r="BG4" s="258" t="s">
        <v>115</v>
      </c>
      <c r="BH4" s="258" t="s">
        <v>183</v>
      </c>
      <c r="BI4" s="42" t="s">
        <v>184</v>
      </c>
      <c r="BJ4" s="258" t="s">
        <v>115</v>
      </c>
      <c r="BK4" s="258" t="s">
        <v>183</v>
      </c>
      <c r="BL4" s="42" t="s">
        <v>184</v>
      </c>
      <c r="BM4" s="258" t="s">
        <v>115</v>
      </c>
      <c r="BN4" s="258" t="s">
        <v>183</v>
      </c>
      <c r="BO4" s="42" t="s">
        <v>184</v>
      </c>
      <c r="BP4" s="258" t="s">
        <v>115</v>
      </c>
      <c r="BQ4" s="258" t="s">
        <v>183</v>
      </c>
      <c r="BR4" s="42" t="s">
        <v>184</v>
      </c>
      <c r="BS4" s="258" t="s">
        <v>115</v>
      </c>
      <c r="BT4" s="258" t="s">
        <v>183</v>
      </c>
      <c r="BU4" s="42" t="s">
        <v>184</v>
      </c>
      <c r="BV4" s="258" t="s">
        <v>115</v>
      </c>
      <c r="BW4" s="258" t="s">
        <v>183</v>
      </c>
      <c r="BX4" s="42" t="s">
        <v>184</v>
      </c>
      <c r="BY4" s="258" t="s">
        <v>115</v>
      </c>
      <c r="BZ4" s="258" t="s">
        <v>183</v>
      </c>
      <c r="CA4" s="42" t="s">
        <v>184</v>
      </c>
      <c r="CB4" s="258" t="s">
        <v>115</v>
      </c>
      <c r="CC4" s="258" t="s">
        <v>183</v>
      </c>
      <c r="CD4" s="42" t="s">
        <v>184</v>
      </c>
      <c r="CE4" s="258" t="s">
        <v>115</v>
      </c>
      <c r="CF4" s="258" t="s">
        <v>183</v>
      </c>
      <c r="CG4" s="42" t="s">
        <v>184</v>
      </c>
      <c r="CH4" s="258" t="s">
        <v>115</v>
      </c>
      <c r="CI4" s="258" t="s">
        <v>183</v>
      </c>
      <c r="CJ4" s="42" t="s">
        <v>184</v>
      </c>
      <c r="CK4" s="43" t="s">
        <v>19</v>
      </c>
      <c r="CL4" s="43" t="s">
        <v>20</v>
      </c>
      <c r="CM4" s="42" t="s">
        <v>185</v>
      </c>
      <c r="CN4" s="42" t="s">
        <v>50</v>
      </c>
      <c r="CO4" s="42" t="s">
        <v>161</v>
      </c>
      <c r="CP4" s="42" t="s">
        <v>186</v>
      </c>
      <c r="CQ4" s="42" t="s">
        <v>187</v>
      </c>
      <c r="CR4" s="42" t="s">
        <v>188</v>
      </c>
      <c r="CS4" s="42" t="s">
        <v>189</v>
      </c>
      <c r="CT4" s="42" t="s">
        <v>190</v>
      </c>
      <c r="CU4" s="42" t="s">
        <v>191</v>
      </c>
      <c r="CV4" s="42" t="s">
        <v>192</v>
      </c>
      <c r="CW4" s="43" t="s">
        <v>193</v>
      </c>
      <c r="CX4" s="43" t="s">
        <v>194</v>
      </c>
      <c r="CY4" s="43" t="s">
        <v>195</v>
      </c>
      <c r="CZ4" s="43" t="s">
        <v>196</v>
      </c>
      <c r="DA4" s="43" t="s">
        <v>197</v>
      </c>
      <c r="DB4" s="43" t="s">
        <v>198</v>
      </c>
      <c r="DC4" s="43" t="s">
        <v>199</v>
      </c>
      <c r="DD4" s="43" t="s">
        <v>200</v>
      </c>
      <c r="DE4" s="43" t="s">
        <v>201</v>
      </c>
      <c r="DF4" s="43" t="s">
        <v>202</v>
      </c>
      <c r="DG4" s="43" t="s">
        <v>51</v>
      </c>
      <c r="DH4" s="43" t="s">
        <v>203</v>
      </c>
      <c r="DI4" s="43" t="s">
        <v>53</v>
      </c>
      <c r="DJ4" s="43" t="s">
        <v>54</v>
      </c>
      <c r="DK4" s="43" t="s">
        <v>55</v>
      </c>
      <c r="DL4" s="43" t="s">
        <v>56</v>
      </c>
      <c r="DM4" s="43" t="s">
        <v>204</v>
      </c>
    </row>
    <row r="5" spans="1:117" ht="12.75">
      <c r="A5" s="8">
        <v>1</v>
      </c>
      <c r="B5" s="24">
        <f>IF(F5="BM","BM",RANK(BF5,BF$5:BF$24))</f>
        <v>3</v>
      </c>
      <c r="C5" s="44">
        <f aca="true" t="shared" si="0" ref="C5:C24">SUM(BC5:BE5)</f>
        <v>42.4173</v>
      </c>
      <c r="D5" s="45" t="str">
        <f>IF(ISNA(VLOOKUP($BH5,UitslagFig!$C$5:$K$251,1,FALSE)),"",VLOOKUP($BH5,UitslagFig!$C$5:$K$251,3,FALSE))</f>
        <v>HZPC Horst</v>
      </c>
      <c r="E5" s="48" t="str">
        <f>IF(ISNA(VLOOKUP($BH5,UitslagFig!$C$5:$K$251,1,FALSE)),"",VLOOKUP($BH5,UitslagFig!$C$5:$K$251,5,FALSE))</f>
        <v>Limburg</v>
      </c>
      <c r="F5" s="48"/>
      <c r="G5" s="250">
        <f aca="true" t="shared" si="1" ref="G5:G24">+DJ5</f>
        <v>4</v>
      </c>
      <c r="H5" s="50">
        <f aca="true" t="shared" si="2" ref="H5:H24">+DH5</f>
        <v>41.4011</v>
      </c>
      <c r="I5" s="24">
        <f aca="true" t="shared" si="3" ref="I5:I24">IF(H5&gt;0,RANK(H5,H$5:H$24),"")</f>
        <v>3</v>
      </c>
      <c r="J5" s="51">
        <f aca="true" t="shared" si="4" ref="J5:J24">BB5</f>
        <v>43.433299999999996</v>
      </c>
      <c r="K5" s="24">
        <f aca="true" t="shared" si="5" ref="K5:K24">IF(J5&gt;0,RANK(J5,J$5:J$24),"")</f>
        <v>3</v>
      </c>
      <c r="L5" s="64">
        <v>41</v>
      </c>
      <c r="M5" s="65">
        <v>44</v>
      </c>
      <c r="N5" s="65">
        <v>46</v>
      </c>
      <c r="O5" s="65">
        <v>44</v>
      </c>
      <c r="P5" s="65">
        <v>46</v>
      </c>
      <c r="Q5" s="54">
        <f aca="true" t="shared" si="6" ref="Q5:Q24">+L5/10</f>
        <v>4.1</v>
      </c>
      <c r="R5" s="55">
        <f aca="true" t="shared" si="7" ref="R5:R24">+M5/10</f>
        <v>4.4</v>
      </c>
      <c r="S5" s="55">
        <f aca="true" t="shared" si="8" ref="S5:S24">+N5/10</f>
        <v>4.6</v>
      </c>
      <c r="T5" s="55">
        <f aca="true" t="shared" si="9" ref="T5:T24">+O5/10</f>
        <v>4.4</v>
      </c>
      <c r="U5" s="55">
        <f aca="true" t="shared" si="10" ref="U5:U24">+P5/10</f>
        <v>4.6</v>
      </c>
      <c r="V5" s="56">
        <f aca="true" t="shared" si="11" ref="V5:V24">SUM(Q5:U5)-MAX(Q5:U5)-MIN(Q5:U5)</f>
        <v>13.4</v>
      </c>
      <c r="W5" s="57">
        <f aca="true" t="shared" si="12" ref="W5:W24">IF(V5&gt;0,ROUND(V5/3*10*$X$3,4),0)</f>
        <v>13.4</v>
      </c>
      <c r="X5" s="58">
        <f aca="true" t="shared" si="13" ref="X5:X24">RANK(W5,$W$5:$W$24)</f>
        <v>3</v>
      </c>
      <c r="Y5" s="64">
        <v>46</v>
      </c>
      <c r="Z5" s="65">
        <v>42</v>
      </c>
      <c r="AA5" s="65">
        <v>47</v>
      </c>
      <c r="AB5" s="65">
        <v>52</v>
      </c>
      <c r="AC5" s="65">
        <v>43</v>
      </c>
      <c r="AD5" s="59">
        <f aca="true" t="shared" si="14" ref="AD5:AD24">+Y5/10</f>
        <v>4.6</v>
      </c>
      <c r="AE5" s="60">
        <f aca="true" t="shared" si="15" ref="AE5:AE24">+Z5/10</f>
        <v>4.2</v>
      </c>
      <c r="AF5" s="60">
        <f aca="true" t="shared" si="16" ref="AF5:AF24">+AA5/10</f>
        <v>4.7</v>
      </c>
      <c r="AG5" s="60">
        <f aca="true" t="shared" si="17" ref="AG5:AG24">+AB5/10</f>
        <v>5.2</v>
      </c>
      <c r="AH5" s="60">
        <f aca="true" t="shared" si="18" ref="AH5:AH24">+AC5/10</f>
        <v>4.3</v>
      </c>
      <c r="AI5" s="61">
        <f aca="true" t="shared" si="19" ref="AI5:AI24">SUM(AD5:AH5)-MAX(AD5:AH5)-MIN(AD5:AH5)</f>
        <v>13.600000000000001</v>
      </c>
      <c r="AJ5" s="62">
        <f aca="true" t="shared" si="20" ref="AJ5:AJ24">IF(AI5&gt;0,ROUND(AI5/3*10*$AK$3,4),0)</f>
        <v>18.1333</v>
      </c>
      <c r="AK5" s="63">
        <f aca="true" t="shared" si="21" ref="AK5:AK24">RANK(AJ5,$AJ$5:$AJ$24)</f>
        <v>2</v>
      </c>
      <c r="AL5" s="64">
        <v>47</v>
      </c>
      <c r="AM5" s="65">
        <v>47</v>
      </c>
      <c r="AN5" s="65">
        <v>47</v>
      </c>
      <c r="AO5" s="65">
        <v>45</v>
      </c>
      <c r="AP5" s="65">
        <v>43</v>
      </c>
      <c r="AQ5" s="66">
        <f aca="true" t="shared" si="22" ref="AQ5:AQ24">+AL5/10</f>
        <v>4.7</v>
      </c>
      <c r="AR5" s="67">
        <f aca="true" t="shared" si="23" ref="AR5:AR24">+AM5/10</f>
        <v>4.7</v>
      </c>
      <c r="AS5" s="67">
        <f aca="true" t="shared" si="24" ref="AS5:AS24">+AN5/10</f>
        <v>4.7</v>
      </c>
      <c r="AT5" s="67">
        <f aca="true" t="shared" si="25" ref="AT5:AT24">+AO5/10</f>
        <v>4.5</v>
      </c>
      <c r="AU5" s="67">
        <f aca="true" t="shared" si="26" ref="AU5:AU24">+AP5/10</f>
        <v>4.3</v>
      </c>
      <c r="AV5" s="68">
        <f aca="true" t="shared" si="27" ref="AV5:AV24">SUM(AQ5:AU5)-MAX(AQ5:AU5)-MIN(AQ5:AU5)</f>
        <v>13.900000000000002</v>
      </c>
      <c r="AW5" s="69">
        <f aca="true" t="shared" si="28" ref="AW5:AW24">IF(AV5&gt;0,ROUND(AV5/3*10*$AX$3,4),0)</f>
        <v>13.9</v>
      </c>
      <c r="AX5" s="70">
        <f aca="true" t="shared" si="29" ref="AX5:AX24">RANK(AW5,$AW$5:$AW$24)</f>
        <v>3</v>
      </c>
      <c r="AY5" s="71">
        <v>0</v>
      </c>
      <c r="AZ5" s="259">
        <f aca="true" t="shared" si="30" ref="AZ5:AZ24">IF(DJ5&gt;3,(8-DJ5)*0.5,0)</f>
        <v>2</v>
      </c>
      <c r="BA5" s="72">
        <f aca="true" t="shared" si="31" ref="BA5:BA24">+AZ5+AY5</f>
        <v>2</v>
      </c>
      <c r="BB5" s="74">
        <f aca="true" t="shared" si="32" ref="BB5:BB24">+W5+AJ5+AW5-BA5</f>
        <v>43.433299999999996</v>
      </c>
      <c r="BC5" s="74">
        <f aca="true" t="shared" si="33" ref="BC5:BC24">ROUND((+H5*$C$3)/100,4)</f>
        <v>0</v>
      </c>
      <c r="BD5" s="74">
        <f aca="true" t="shared" si="34" ref="BD5:BD24">ROUND((+BB5*$C$2)/100,4)</f>
        <v>21.7167</v>
      </c>
      <c r="BE5" s="74">
        <f aca="true" t="shared" si="35" ref="BE5:BE24">ROUND((+DH5*$C$1)/100,4)</f>
        <v>20.7006</v>
      </c>
      <c r="BF5" s="74">
        <f aca="true" t="shared" si="36" ref="BF5:BF24">IF(F5="BM",0,BC5+BD5+BE5)</f>
        <v>42.4173</v>
      </c>
      <c r="BG5" s="75" t="str">
        <f>IF(ISNA(VLOOKUP(BH5,UitslagFig!$C$5:$K$251,1,FALSE)),"",VLOOKUP(BH5,UitslagFig!$C$5:$K$251,2,FALSE))</f>
        <v>Iris van Bavel</v>
      </c>
      <c r="BH5" s="260">
        <v>200201950</v>
      </c>
      <c r="BI5" s="47" t="s">
        <v>2</v>
      </c>
      <c r="BJ5" s="75" t="str">
        <f>IF(ISNA(VLOOKUP(BK5,UitslagFig!$C$5:$K$251,1,FALSE)),"",VLOOKUP(BK5,UitslagFig!$C$5:$K$251,2,FALSE))</f>
        <v>Niamh Rutten</v>
      </c>
      <c r="BK5" s="260">
        <v>200201942</v>
      </c>
      <c r="BL5" s="47" t="s">
        <v>2</v>
      </c>
      <c r="BM5" s="75" t="str">
        <f>IF(ISNA(VLOOKUP(BN5,UitslagFig!$C$5:$K$251,1,FALSE)),"",VLOOKUP(BN5,UitslagFig!$C$5:$K$251,2,FALSE))</f>
        <v>Marit Smits</v>
      </c>
      <c r="BN5" s="260">
        <v>200204220</v>
      </c>
      <c r="BO5" s="47" t="s">
        <v>2</v>
      </c>
      <c r="BP5" s="75" t="str">
        <f>IF(ISNA(VLOOKUP(BQ5,UitslagFig!$C$5:$K$251,1,FALSE)),"",VLOOKUP(BQ5,UitslagFig!$C$5:$K$251,2,FALSE))</f>
        <v>Femke Westheim</v>
      </c>
      <c r="BQ5" s="260">
        <v>200204222</v>
      </c>
      <c r="BR5" s="47" t="s">
        <v>2</v>
      </c>
      <c r="BS5" s="75">
        <f>IF(ISNA(VLOOKUP(BT5,UitslagFig!$C$5:$K$251,1,FALSE)),"",VLOOKUP(BT5,UitslagFig!$C$5:$K$251,2,FALSE))</f>
        <v>0</v>
      </c>
      <c r="BT5" s="260"/>
      <c r="BU5" s="47"/>
      <c r="BV5" s="75">
        <f>IF(ISNA(VLOOKUP(BW5,UitslagFig!$C$5:$K$251,1,FALSE)),"",VLOOKUP(BW5,UitslagFig!$C$5:$K$251,2,FALSE))</f>
        <v>0</v>
      </c>
      <c r="BW5" s="260"/>
      <c r="BX5" s="47"/>
      <c r="BY5" s="75">
        <f>IF(ISNA(VLOOKUP(BZ5,UitslagFig!$C$5:$K$251,1,FALSE)),"",VLOOKUP(BZ5,UitslagFig!$C$5:$K$251,2,FALSE))</f>
        <v>0</v>
      </c>
      <c r="BZ5" s="261"/>
      <c r="CA5" s="47"/>
      <c r="CB5" s="75">
        <f>IF(ISNA(VLOOKUP(CC5,UitslagFig!$C$5:$K$251,1,FALSE)),"",VLOOKUP(CC5,UitslagFig!$C$5:$K$251,2,FALSE))</f>
        <v>0</v>
      </c>
      <c r="CC5" s="261"/>
      <c r="CD5" s="47"/>
      <c r="CE5" s="75">
        <f>IF(ISNA(VLOOKUP(CF5,UitslagFig!$C$5:$K$251,1,FALSE)),"",VLOOKUP(CF5,UitslagFig!$C$5:$K$251,2,FALSE))</f>
        <v>0</v>
      </c>
      <c r="CF5" s="261"/>
      <c r="CG5" s="47"/>
      <c r="CH5" s="75">
        <f>IF(ISNA(VLOOKUP(CI5,UitslagFig!$C$5:$K$251,1,FALSE)),"",VLOOKUP(CI5,UitslagFig!$C$5:$K$251,2,FALSE))</f>
        <v>0</v>
      </c>
      <c r="CI5" s="261"/>
      <c r="CJ5" s="47"/>
      <c r="CK5" s="260" t="s">
        <v>205</v>
      </c>
      <c r="CL5" s="260" t="s">
        <v>206</v>
      </c>
      <c r="CM5" s="75">
        <f>IF(ISNA(VLOOKUP(BH5,UitslagFig!$C$5:$K$251,1,FALSE)),"",VLOOKUP(BH5,UitslagFig!$C$5:$K$251,9,FALSE))</f>
        <v>40.04</v>
      </c>
      <c r="CN5" s="75">
        <f>IF(ISNA(VLOOKUP(BK5,UitslagFig!$C$5:$K$251,1,FALSE)),"",VLOOKUP(BK5,UitslagFig!$C$5:$K$251,9,FALSE))</f>
        <v>40.0712</v>
      </c>
      <c r="CO5" s="75">
        <f>IF(ISNA(VLOOKUP(BN5,UitslagFig!$C$5:$K$251,1,FALSE)),"",VLOOKUP(BN5,UitslagFig!$C$5:$K$251,9,FALSE))</f>
        <v>42.9244</v>
      </c>
      <c r="CP5" s="75">
        <f>IF(ISNA(VLOOKUP(BQ5,UitslagFig!$C$5:$K$251,1,FALSE)),"",VLOOKUP(BQ5,UitslagFig!$C$5:$K$251,9,FALSE))</f>
        <v>42.5689</v>
      </c>
      <c r="CQ5" s="75">
        <f>IF(ISNA(VLOOKUP(BT5,UitslagFig!$C$5:$K$251,1,FALSE)),"",VLOOKUP(BT5,UitslagFig!$C$5:$K$251,9,FALSE))</f>
        <v>0</v>
      </c>
      <c r="CR5" s="75">
        <f>IF(ISNA(VLOOKUP(BW5,UitslagFig!$C$5:$K$251,1,FALSE)),"",VLOOKUP(BW5,UitslagFig!$C$5:$K$251,9,FALSE))</f>
        <v>0</v>
      </c>
      <c r="CS5" s="75">
        <f>IF(ISNA(VLOOKUP(BZ5,UitslagFig!$C$5:$K$251,1,FALSE)),"",VLOOKUP(BZ5,UitslagFig!$C$5:$K$251,9,FALSE))</f>
        <v>0</v>
      </c>
      <c r="CT5" s="75">
        <f>IF(ISNA(VLOOKUP(CC5,UitslagFig!$C$5:$K$251,1,FALSE)),"",VLOOKUP(CC5,UitslagFig!$C$5:$K$251,9,FALSE))</f>
        <v>0</v>
      </c>
      <c r="CU5" s="75">
        <f>IF(ISNA(VLOOKUP(CF5,UitslagFig!$C$5:$K$251,1,FALSE)),"",VLOOKUP(CF5,UitslagFig!$C$5:$K$251,9,FALSE))</f>
        <v>0</v>
      </c>
      <c r="CV5" s="75">
        <f>IF(ISNA(VLOOKUP(CI5,UitslagFig!$C$5:$K$251,1,FALSE)),"",VLOOKUP(CI5,UitslagFig!$C$5:$K$251,9,FALSE))</f>
        <v>0</v>
      </c>
      <c r="CW5" s="76">
        <f aca="true" t="shared" si="37" ref="CW5:CW24">IF(BI5="X",CM5,"")</f>
        <v>40.04</v>
      </c>
      <c r="CX5" s="76">
        <f aca="true" t="shared" si="38" ref="CX5:CX24">IF(BL5="x",CN5,"")</f>
        <v>40.0712</v>
      </c>
      <c r="CY5" s="76">
        <f aca="true" t="shared" si="39" ref="CY5:CY24">IF(BO5="x",CO5,"")</f>
        <v>42.9244</v>
      </c>
      <c r="CZ5" s="76">
        <f aca="true" t="shared" si="40" ref="CZ5:CZ24">IF(BR5="x",CP5,"")</f>
        <v>42.5689</v>
      </c>
      <c r="DA5" s="76">
        <f aca="true" t="shared" si="41" ref="DA5:DA24">IF(BU5="x",CQ5,"")</f>
      </c>
      <c r="DB5" s="76">
        <f aca="true" t="shared" si="42" ref="DB5:DB24">IF(BX5="x",CR5,"")</f>
      </c>
      <c r="DC5" s="76">
        <f aca="true" t="shared" si="43" ref="DC5:DC24">IF(CA5="x",CS5,"")</f>
      </c>
      <c r="DD5" s="76">
        <f aca="true" t="shared" si="44" ref="DD5:DD24">IF(CD5="x",CT5,"")</f>
      </c>
      <c r="DE5" s="76">
        <f aca="true" t="shared" si="45" ref="DE5:DE24">IF(CG5="x",CU5,"")</f>
      </c>
      <c r="DF5" s="76">
        <f aca="true" t="shared" si="46" ref="DF5:DF24">IF(CJ5="x",CV5,"")</f>
      </c>
      <c r="DG5" s="76">
        <f aca="true" t="shared" si="47" ref="DG5:DG24">SUMIF(CW5:DF5,"&gt;0")</f>
        <v>165.60449999999997</v>
      </c>
      <c r="DH5" s="76">
        <f aca="true" t="shared" si="48" ref="DH5:DH24">IF(DJ5&gt;0,ROUND(AVERAGE(CW5:DF5),4),0)</f>
        <v>41.4011</v>
      </c>
      <c r="DI5" s="77">
        <f aca="true" t="shared" si="49" ref="DI5:DI24">IF(DH5&gt;0,RANK(DH5,$DH$5:$DH$24),"")</f>
        <v>3</v>
      </c>
      <c r="DJ5" s="77">
        <f aca="true" t="shared" si="50" ref="DJ5:DJ24">COUNTIF(CW5:DF5,"&gt;=0")</f>
        <v>4</v>
      </c>
      <c r="DK5" s="78">
        <f>IF(DJ5&gt;0,IF(COUNT(CM5:CV5)&gt;=8,SUM(LARGE(CM5:CV5,{1;2;3;4;5;6;9;8}))/8,IF(COUNT(CM5:CV5)&gt;COUNT(CW5:DF5),(SUM(CM5:CV5)-MIN(CM5:CV5))/COUNT(CW5:DF5),AVERAGE(CW5:DF5))),0)</f>
        <v>20.7005625</v>
      </c>
      <c r="DL5" s="79">
        <f aca="true" t="shared" si="51" ref="DL5:DL24">IF(DK5&gt;0,RANK(DK5,$DK$5:$DK$24),"")</f>
        <v>3</v>
      </c>
      <c r="DM5" s="262"/>
    </row>
    <row r="6" spans="1:117" ht="12.75">
      <c r="A6" s="8">
        <v>2</v>
      </c>
      <c r="B6" s="24">
        <f>IF(F6="BM","BM",RANK(BF6,BF$5:BF$24))</f>
        <v>1</v>
      </c>
      <c r="C6" s="44">
        <f t="shared" si="0"/>
        <v>46.7223</v>
      </c>
      <c r="D6" s="45" t="str">
        <f>IF(ISNA(VLOOKUP($BH6,UitslagFig!$C$5:$K$251,1,FALSE)),"",VLOOKUP($BH6,UitslagFig!$C$5:$K$251,3,FALSE))</f>
        <v>ZV Brunssum</v>
      </c>
      <c r="E6" s="48" t="str">
        <f>IF(ISNA(VLOOKUP($BH6,UitslagFig!$C$5:$K$251,1,FALSE)),"",VLOOKUP($BH6,UitslagFig!$C$5:$K$251,5,FALSE))</f>
        <v>Limburg</v>
      </c>
      <c r="F6" s="48"/>
      <c r="G6" s="250">
        <f t="shared" si="1"/>
        <v>4</v>
      </c>
      <c r="H6" s="50">
        <f t="shared" si="2"/>
        <v>48.1111</v>
      </c>
      <c r="I6" s="24">
        <f t="shared" si="3"/>
        <v>1</v>
      </c>
      <c r="J6" s="51">
        <f t="shared" si="4"/>
        <v>45.3333</v>
      </c>
      <c r="K6" s="24">
        <f t="shared" si="5"/>
        <v>1</v>
      </c>
      <c r="L6" s="64">
        <v>40</v>
      </c>
      <c r="M6" s="65">
        <v>43</v>
      </c>
      <c r="N6" s="65">
        <v>47</v>
      </c>
      <c r="O6" s="65">
        <v>48</v>
      </c>
      <c r="P6" s="65">
        <v>51</v>
      </c>
      <c r="Q6" s="54">
        <f t="shared" si="6"/>
        <v>4</v>
      </c>
      <c r="R6" s="55">
        <f t="shared" si="7"/>
        <v>4.3</v>
      </c>
      <c r="S6" s="55">
        <f t="shared" si="8"/>
        <v>4.7</v>
      </c>
      <c r="T6" s="55">
        <f t="shared" si="9"/>
        <v>4.8</v>
      </c>
      <c r="U6" s="55">
        <f t="shared" si="10"/>
        <v>5.1</v>
      </c>
      <c r="V6" s="56">
        <f t="shared" si="11"/>
        <v>13.799999999999997</v>
      </c>
      <c r="W6" s="57">
        <f t="shared" si="12"/>
        <v>13.8</v>
      </c>
      <c r="X6" s="58">
        <f t="shared" si="13"/>
        <v>1</v>
      </c>
      <c r="Y6" s="64">
        <v>47</v>
      </c>
      <c r="Z6" s="65">
        <v>45</v>
      </c>
      <c r="AA6" s="65">
        <v>49</v>
      </c>
      <c r="AB6" s="65">
        <v>47</v>
      </c>
      <c r="AC6" s="65">
        <v>42</v>
      </c>
      <c r="AD6" s="59">
        <f t="shared" si="14"/>
        <v>4.7</v>
      </c>
      <c r="AE6" s="60">
        <f t="shared" si="15"/>
        <v>4.5</v>
      </c>
      <c r="AF6" s="60">
        <f t="shared" si="16"/>
        <v>4.9</v>
      </c>
      <c r="AG6" s="60">
        <f t="shared" si="17"/>
        <v>4.7</v>
      </c>
      <c r="AH6" s="60">
        <f t="shared" si="18"/>
        <v>4.2</v>
      </c>
      <c r="AI6" s="61">
        <f t="shared" si="19"/>
        <v>13.900000000000002</v>
      </c>
      <c r="AJ6" s="62">
        <f t="shared" si="20"/>
        <v>18.5333</v>
      </c>
      <c r="AK6" s="63">
        <f t="shared" si="21"/>
        <v>1</v>
      </c>
      <c r="AL6" s="64">
        <v>50</v>
      </c>
      <c r="AM6" s="65">
        <v>51</v>
      </c>
      <c r="AN6" s="65">
        <v>52</v>
      </c>
      <c r="AO6" s="65">
        <v>49</v>
      </c>
      <c r="AP6" s="65">
        <v>45</v>
      </c>
      <c r="AQ6" s="66">
        <f t="shared" si="22"/>
        <v>5</v>
      </c>
      <c r="AR6" s="67">
        <f t="shared" si="23"/>
        <v>5.1</v>
      </c>
      <c r="AS6" s="67">
        <f t="shared" si="24"/>
        <v>5.2</v>
      </c>
      <c r="AT6" s="67">
        <f t="shared" si="25"/>
        <v>4.9</v>
      </c>
      <c r="AU6" s="67">
        <f t="shared" si="26"/>
        <v>4.5</v>
      </c>
      <c r="AV6" s="68">
        <f t="shared" si="27"/>
        <v>15.000000000000004</v>
      </c>
      <c r="AW6" s="69">
        <f t="shared" si="28"/>
        <v>15</v>
      </c>
      <c r="AX6" s="70">
        <f t="shared" si="29"/>
        <v>1</v>
      </c>
      <c r="AY6" s="71">
        <v>0</v>
      </c>
      <c r="AZ6" s="259">
        <f t="shared" si="30"/>
        <v>2</v>
      </c>
      <c r="BA6" s="72">
        <f t="shared" si="31"/>
        <v>2</v>
      </c>
      <c r="BB6" s="74">
        <f t="shared" si="32"/>
        <v>45.3333</v>
      </c>
      <c r="BC6" s="74">
        <f t="shared" si="33"/>
        <v>0</v>
      </c>
      <c r="BD6" s="74">
        <f t="shared" si="34"/>
        <v>22.6667</v>
      </c>
      <c r="BE6" s="74">
        <f t="shared" si="35"/>
        <v>24.0556</v>
      </c>
      <c r="BF6" s="74">
        <f t="shared" si="36"/>
        <v>46.7223</v>
      </c>
      <c r="BG6" s="75" t="str">
        <f>IF(ISNA(VLOOKUP(BH6,UitslagFig!$C$5:$K$251,1,FALSE)),"",VLOOKUP(BH6,UitslagFig!$C$5:$K$251,2,FALSE))</f>
        <v>Chiara Boots</v>
      </c>
      <c r="BH6" s="261">
        <v>200301748</v>
      </c>
      <c r="BI6" s="47" t="s">
        <v>2</v>
      </c>
      <c r="BJ6" s="75" t="str">
        <f>IF(ISNA(VLOOKUP(BK6,UitslagFig!$C$5:$K$251,1,FALSE)),"",VLOOKUP(BK6,UitslagFig!$C$5:$K$251,2,FALSE))</f>
        <v>Joy Elferink</v>
      </c>
      <c r="BK6" s="261">
        <v>200002050</v>
      </c>
      <c r="BL6" s="47" t="s">
        <v>2</v>
      </c>
      <c r="BM6" s="75" t="str">
        <f>IF(ISNA(VLOOKUP(BN6,UitslagFig!$C$5:$K$251,1,FALSE)),"",VLOOKUP(BN6,UitslagFig!$C$5:$K$251,2,FALSE))</f>
        <v>Rachel Hochstenbach</v>
      </c>
      <c r="BN6" s="261">
        <v>200202062</v>
      </c>
      <c r="BO6" s="47" t="s">
        <v>2</v>
      </c>
      <c r="BP6" s="75" t="str">
        <f>IF(ISNA(VLOOKUP(BQ6,UitslagFig!$C$5:$K$251,1,FALSE)),"",VLOOKUP(BQ6,UitslagFig!$C$5:$K$251,2,FALSE))</f>
        <v>Abigail Vievermanns</v>
      </c>
      <c r="BQ6" s="261">
        <v>200400222</v>
      </c>
      <c r="BR6" s="47" t="s">
        <v>2</v>
      </c>
      <c r="BS6" s="75">
        <f>IF(ISNA(VLOOKUP(BT6,UitslagFig!$C$5:$K$251,1,FALSE)),"",VLOOKUP(BT6,UitslagFig!$C$5:$K$251,2,FALSE))</f>
        <v>0</v>
      </c>
      <c r="BT6" s="261"/>
      <c r="BU6" s="47"/>
      <c r="BV6" s="75">
        <f>IF(ISNA(VLOOKUP(BW6,UitslagFig!$C$5:$K$251,1,FALSE)),"",VLOOKUP(BW6,UitslagFig!$C$5:$K$251,2,FALSE))</f>
        <v>0</v>
      </c>
      <c r="BW6" s="261"/>
      <c r="BX6" s="47"/>
      <c r="BY6" s="75">
        <f>IF(ISNA(VLOOKUP(BZ6,UitslagFig!$C$5:$K$251,1,FALSE)),"",VLOOKUP(BZ6,UitslagFig!$C$5:$K$251,2,FALSE))</f>
        <v>0</v>
      </c>
      <c r="BZ6" s="261"/>
      <c r="CA6" s="47"/>
      <c r="CB6" s="75">
        <f>IF(ISNA(VLOOKUP(CC6,UitslagFig!$C$5:$K$251,1,FALSE)),"",VLOOKUP(CC6,UitslagFig!$C$5:$K$251,2,FALSE))</f>
        <v>0</v>
      </c>
      <c r="CC6" s="261"/>
      <c r="CD6" s="47"/>
      <c r="CE6" s="75">
        <f>IF(ISNA(VLOOKUP(CF6,UitslagFig!$C$5:$K$251,1,FALSE)),"",VLOOKUP(CF6,UitslagFig!$C$5:$K$251,2,FALSE))</f>
        <v>0</v>
      </c>
      <c r="CF6" s="261"/>
      <c r="CG6" s="47"/>
      <c r="CH6" s="75">
        <f>IF(ISNA(VLOOKUP(CI6,UitslagFig!$C$5:$K$251,1,FALSE)),"",VLOOKUP(CI6,UitslagFig!$C$5:$K$251,2,FALSE))</f>
        <v>0</v>
      </c>
      <c r="CI6" s="261"/>
      <c r="CJ6" s="47"/>
      <c r="CK6" s="263" t="s">
        <v>207</v>
      </c>
      <c r="CL6" s="263" t="s">
        <v>58</v>
      </c>
      <c r="CM6" s="75">
        <f>IF(ISNA(VLOOKUP(BH6,UitslagFig!$C$5:$K$251,1,FALSE)),"",VLOOKUP(BH6,UitslagFig!$C$5:$K$251,9,FALSE))</f>
        <v>43.5289</v>
      </c>
      <c r="CN6" s="75">
        <f>IF(ISNA(VLOOKUP(BK6,UitslagFig!$C$5:$K$251,1,FALSE)),"",VLOOKUP(BK6,UitslagFig!$C$5:$K$251,9,FALSE))</f>
        <v>47.0667</v>
      </c>
      <c r="CO6" s="75">
        <f>IF(ISNA(VLOOKUP(BN6,UitslagFig!$C$5:$K$251,1,FALSE)),"",VLOOKUP(BN6,UitslagFig!$C$5:$K$251,9,FALSE))</f>
        <v>54.3956</v>
      </c>
      <c r="CP6" s="75">
        <f>IF(ISNA(VLOOKUP(BQ6,UitslagFig!$C$5:$K$251,1,FALSE)),"",VLOOKUP(BQ6,UitslagFig!$C$5:$K$251,9,FALSE))</f>
        <v>47.4533</v>
      </c>
      <c r="CQ6" s="75">
        <f>IF(ISNA(VLOOKUP(BT6,UitslagFig!$C$5:$K$251,1,FALSE)),"",VLOOKUP(BT6,UitslagFig!$C$5:$K$251,9,FALSE))</f>
        <v>0</v>
      </c>
      <c r="CR6" s="75">
        <f>IF(ISNA(VLOOKUP(BW6,UitslagFig!$C$5:$K$251,1,FALSE)),"",VLOOKUP(BW6,UitslagFig!$C$5:$K$251,9,FALSE))</f>
        <v>0</v>
      </c>
      <c r="CS6" s="75">
        <f>IF(ISNA(VLOOKUP(BZ6,UitslagFig!$C$5:$K$251,1,FALSE)),"",VLOOKUP(BZ6,UitslagFig!$C$5:$K$251,9,FALSE))</f>
        <v>0</v>
      </c>
      <c r="CT6" s="75">
        <f>IF(ISNA(VLOOKUP(CC6,UitslagFig!$C$5:$K$251,1,FALSE)),"",VLOOKUP(CC6,UitslagFig!$C$5:$K$251,9,FALSE))</f>
        <v>0</v>
      </c>
      <c r="CU6" s="75">
        <f>IF(ISNA(VLOOKUP(CF6,UitslagFig!$C$5:$K$251,1,FALSE)),"",VLOOKUP(CF6,UitslagFig!$C$5:$K$251,9,FALSE))</f>
        <v>0</v>
      </c>
      <c r="CV6" s="75">
        <f>IF(ISNA(VLOOKUP(CI6,UitslagFig!$C$5:$K$251,1,FALSE)),"",VLOOKUP(CI6,UitslagFig!$C$5:$K$251,9,FALSE))</f>
        <v>0</v>
      </c>
      <c r="CW6" s="76">
        <f t="shared" si="37"/>
        <v>43.5289</v>
      </c>
      <c r="CX6" s="76">
        <f t="shared" si="38"/>
        <v>47.0667</v>
      </c>
      <c r="CY6" s="76">
        <f t="shared" si="39"/>
        <v>54.3956</v>
      </c>
      <c r="CZ6" s="76">
        <f t="shared" si="40"/>
        <v>47.4533</v>
      </c>
      <c r="DA6" s="76">
        <f t="shared" si="41"/>
      </c>
      <c r="DB6" s="76">
        <f t="shared" si="42"/>
      </c>
      <c r="DC6" s="76">
        <f t="shared" si="43"/>
      </c>
      <c r="DD6" s="76">
        <f t="shared" si="44"/>
      </c>
      <c r="DE6" s="76">
        <f t="shared" si="45"/>
      </c>
      <c r="DF6" s="76">
        <f t="shared" si="46"/>
      </c>
      <c r="DG6" s="76">
        <f t="shared" si="47"/>
        <v>192.4445</v>
      </c>
      <c r="DH6" s="76">
        <f t="shared" si="48"/>
        <v>48.1111</v>
      </c>
      <c r="DI6" s="77">
        <f t="shared" si="49"/>
        <v>1</v>
      </c>
      <c r="DJ6" s="77">
        <f t="shared" si="50"/>
        <v>4</v>
      </c>
      <c r="DK6" s="78">
        <f>IF(DJ6&gt;0,IF(COUNT(CM6:CV6)&gt;=8,SUM(LARGE(CM6:CV6,{1;2;3;4;5;6;9;8}))/8,IF(COUNT(CM6:CV6)&gt;COUNT(CW6:DF6),(SUM(CM6:CV6)-MIN(CM6:CV6))/COUNT(CW6:DF6),AVERAGE(CW6:DF6))),0)</f>
        <v>24.055562499999997</v>
      </c>
      <c r="DL6" s="79">
        <f t="shared" si="51"/>
        <v>2</v>
      </c>
      <c r="DM6" s="262"/>
    </row>
    <row r="7" spans="1:117" ht="12.75">
      <c r="A7" s="8">
        <v>3</v>
      </c>
      <c r="B7" s="24">
        <f>IF(F7="BM","BM",RANK(BF7,BF$5:BF$24))</f>
        <v>2</v>
      </c>
      <c r="C7" s="44">
        <f t="shared" si="0"/>
        <v>43.668499999999995</v>
      </c>
      <c r="D7" s="45" t="str">
        <f>IF(ISNA(VLOOKUP($BH7,UitslagFig!$C$5:$K$251,1,FALSE)),"",VLOOKUP($BH7,UitslagFig!$C$5:$K$251,3,FALSE))</f>
        <v>SPIO Venray</v>
      </c>
      <c r="E7" s="48" t="str">
        <f>IF(ISNA(VLOOKUP($BH7,UitslagFig!$C$5:$K$251,1,FALSE)),"",VLOOKUP($BH7,UitslagFig!$C$5:$K$251,5,FALSE))</f>
        <v>Limburg</v>
      </c>
      <c r="F7" s="48"/>
      <c r="G7" s="250">
        <f t="shared" si="1"/>
        <v>6</v>
      </c>
      <c r="H7" s="50">
        <f t="shared" si="2"/>
        <v>43.037</v>
      </c>
      <c r="I7" s="24">
        <f t="shared" si="3"/>
        <v>2</v>
      </c>
      <c r="J7" s="51">
        <f t="shared" si="4"/>
        <v>44.300000000000004</v>
      </c>
      <c r="K7" s="24">
        <f t="shared" si="5"/>
        <v>2</v>
      </c>
      <c r="L7" s="64">
        <v>38</v>
      </c>
      <c r="M7" s="65">
        <v>46</v>
      </c>
      <c r="N7" s="65">
        <v>45</v>
      </c>
      <c r="O7" s="65">
        <v>47</v>
      </c>
      <c r="P7" s="65">
        <v>45</v>
      </c>
      <c r="Q7" s="54">
        <f t="shared" si="6"/>
        <v>3.8</v>
      </c>
      <c r="R7" s="55">
        <f t="shared" si="7"/>
        <v>4.6</v>
      </c>
      <c r="S7" s="55">
        <f t="shared" si="8"/>
        <v>4.5</v>
      </c>
      <c r="T7" s="55">
        <f t="shared" si="9"/>
        <v>4.7</v>
      </c>
      <c r="U7" s="55">
        <f t="shared" si="10"/>
        <v>4.5</v>
      </c>
      <c r="V7" s="56">
        <f t="shared" si="11"/>
        <v>13.599999999999998</v>
      </c>
      <c r="W7" s="57">
        <f t="shared" si="12"/>
        <v>13.6</v>
      </c>
      <c r="X7" s="58">
        <f t="shared" si="13"/>
        <v>2</v>
      </c>
      <c r="Y7" s="64">
        <v>44</v>
      </c>
      <c r="Z7" s="65">
        <v>44</v>
      </c>
      <c r="AA7" s="65">
        <v>45</v>
      </c>
      <c r="AB7" s="65">
        <v>42</v>
      </c>
      <c r="AC7" s="65">
        <v>44</v>
      </c>
      <c r="AD7" s="59">
        <f t="shared" si="14"/>
        <v>4.4</v>
      </c>
      <c r="AE7" s="60">
        <f t="shared" si="15"/>
        <v>4.4</v>
      </c>
      <c r="AF7" s="60">
        <f t="shared" si="16"/>
        <v>4.5</v>
      </c>
      <c r="AG7" s="60">
        <f t="shared" si="17"/>
        <v>4.2</v>
      </c>
      <c r="AH7" s="60">
        <f t="shared" si="18"/>
        <v>4.4</v>
      </c>
      <c r="AI7" s="61">
        <f t="shared" si="19"/>
        <v>13.2</v>
      </c>
      <c r="AJ7" s="62">
        <f t="shared" si="20"/>
        <v>17.6</v>
      </c>
      <c r="AK7" s="63">
        <f t="shared" si="21"/>
        <v>3</v>
      </c>
      <c r="AL7" s="64">
        <v>48</v>
      </c>
      <c r="AM7" s="65">
        <v>49</v>
      </c>
      <c r="AN7" s="65">
        <v>47</v>
      </c>
      <c r="AO7" s="65">
        <v>46</v>
      </c>
      <c r="AP7" s="65">
        <v>40</v>
      </c>
      <c r="AQ7" s="66">
        <f t="shared" si="22"/>
        <v>4.8</v>
      </c>
      <c r="AR7" s="67">
        <f t="shared" si="23"/>
        <v>4.9</v>
      </c>
      <c r="AS7" s="67">
        <f t="shared" si="24"/>
        <v>4.7</v>
      </c>
      <c r="AT7" s="67">
        <f t="shared" si="25"/>
        <v>4.6</v>
      </c>
      <c r="AU7" s="67">
        <f t="shared" si="26"/>
        <v>4</v>
      </c>
      <c r="AV7" s="68">
        <f t="shared" si="27"/>
        <v>14.100000000000001</v>
      </c>
      <c r="AW7" s="69">
        <f t="shared" si="28"/>
        <v>14.1</v>
      </c>
      <c r="AX7" s="70">
        <f t="shared" si="29"/>
        <v>2</v>
      </c>
      <c r="AY7" s="71">
        <v>0</v>
      </c>
      <c r="AZ7" s="259">
        <f t="shared" si="30"/>
        <v>1</v>
      </c>
      <c r="BA7" s="72">
        <f t="shared" si="31"/>
        <v>1</v>
      </c>
      <c r="BB7" s="74">
        <f t="shared" si="32"/>
        <v>44.300000000000004</v>
      </c>
      <c r="BC7" s="74">
        <f t="shared" si="33"/>
        <v>0</v>
      </c>
      <c r="BD7" s="74">
        <f t="shared" si="34"/>
        <v>22.15</v>
      </c>
      <c r="BE7" s="74">
        <f t="shared" si="35"/>
        <v>21.5185</v>
      </c>
      <c r="BF7" s="74">
        <f t="shared" si="36"/>
        <v>43.668499999999995</v>
      </c>
      <c r="BG7" s="75" t="str">
        <f>IF(ISNA(VLOOKUP(BH7,UitslagFig!$C$5:$K$251,1,FALSE)),"",VLOOKUP(BH7,UitslagFig!$C$5:$K$251,2,FALSE))</f>
        <v>Vera Andriessen</v>
      </c>
      <c r="BH7" s="260">
        <v>200200444</v>
      </c>
      <c r="BI7" s="47" t="s">
        <v>2</v>
      </c>
      <c r="BJ7" s="75" t="str">
        <f>IF(ISNA(VLOOKUP(BK7,UitslagFig!$C$5:$K$251,1,FALSE)),"",VLOOKUP(BK7,UitslagFig!$C$5:$K$251,2,FALSE))</f>
        <v>Brechje Brauer</v>
      </c>
      <c r="BK7" s="260">
        <v>200201966</v>
      </c>
      <c r="BL7" s="47" t="s">
        <v>2</v>
      </c>
      <c r="BM7" s="75" t="str">
        <f>IF(ISNA(VLOOKUP(BN7,UitslagFig!$C$5:$K$251,1,FALSE)),"",VLOOKUP(BN7,UitslagFig!$C$5:$K$251,2,FALSE))</f>
        <v>Neri Euwes</v>
      </c>
      <c r="BN7" s="260">
        <v>200200074</v>
      </c>
      <c r="BO7" s="47" t="s">
        <v>2</v>
      </c>
      <c r="BP7" s="75" t="str">
        <f>IF(ISNA(VLOOKUP(BQ7,UitslagFig!$C$5:$K$251,1,FALSE)),"",VLOOKUP(BQ7,UitslagFig!$C$5:$K$251,2,FALSE))</f>
        <v>Elke Francken</v>
      </c>
      <c r="BQ7" s="260">
        <v>200201968</v>
      </c>
      <c r="BR7" s="47" t="s">
        <v>2</v>
      </c>
      <c r="BS7" s="75" t="str">
        <f>IF(ISNA(VLOOKUP(BT7,UitslagFig!$C$5:$K$251,1,FALSE)),"",VLOOKUP(BT7,UitslagFig!$C$5:$K$251,2,FALSE))</f>
        <v>Sanne Havens</v>
      </c>
      <c r="BT7" s="260">
        <v>200201970</v>
      </c>
      <c r="BU7" s="47" t="s">
        <v>2</v>
      </c>
      <c r="BV7" s="75" t="str">
        <f>IF(ISNA(VLOOKUP(BW7,UitslagFig!$C$5:$K$251,1,FALSE)),"",VLOOKUP(BW7,UitslagFig!$C$5:$K$251,2,FALSE))</f>
        <v>Denise Hendrix</v>
      </c>
      <c r="BW7" s="260">
        <v>200200990</v>
      </c>
      <c r="BX7" s="47" t="s">
        <v>2</v>
      </c>
      <c r="BY7" s="75">
        <f>IF(ISNA(VLOOKUP(BZ7,UitslagFig!$C$5:$K$251,1,FALSE)),"",VLOOKUP(BZ7,UitslagFig!$C$5:$K$251,2,FALSE))</f>
        <v>0</v>
      </c>
      <c r="BZ7" s="260"/>
      <c r="CA7" s="47"/>
      <c r="CB7" s="75">
        <f>IF(ISNA(VLOOKUP(CC7,UitslagFig!$C$5:$K$251,1,FALSE)),"",VLOOKUP(CC7,UitslagFig!$C$5:$K$251,2,FALSE))</f>
        <v>0</v>
      </c>
      <c r="CC7" s="260"/>
      <c r="CD7" s="47"/>
      <c r="CE7" s="75">
        <f>IF(ISNA(VLOOKUP(CF7,UitslagFig!$C$5:$K$251,1,FALSE)),"",VLOOKUP(CF7,UitslagFig!$C$5:$K$251,2,FALSE))</f>
        <v>0</v>
      </c>
      <c r="CF7" s="261"/>
      <c r="CG7" s="47"/>
      <c r="CH7" s="75">
        <f>IF(ISNA(VLOOKUP(CI7,UitslagFig!$C$5:$K$251,1,FALSE)),"",VLOOKUP(CI7,UitslagFig!$C$5:$K$251,2,FALSE))</f>
        <v>0</v>
      </c>
      <c r="CI7" s="261"/>
      <c r="CJ7" s="47"/>
      <c r="CK7" s="260" t="s">
        <v>208</v>
      </c>
      <c r="CL7" s="260" t="s">
        <v>60</v>
      </c>
      <c r="CM7" s="75">
        <f>IF(ISNA(VLOOKUP(BH7,UitslagFig!$C$5:$K$251,1,FALSE)),"",VLOOKUP(BH7,UitslagFig!$C$5:$K$251,9,FALSE))</f>
        <v>47.16</v>
      </c>
      <c r="CN7" s="75">
        <f>IF(ISNA(VLOOKUP(BK7,UitslagFig!$C$5:$K$251,1,FALSE)),"",VLOOKUP(BK7,UitslagFig!$C$5:$K$251,9,FALSE))</f>
        <v>43.2223</v>
      </c>
      <c r="CO7" s="75">
        <f>IF(ISNA(VLOOKUP(BN7,UitslagFig!$C$5:$K$251,1,FALSE)),"",VLOOKUP(BN7,UitslagFig!$C$5:$K$251,9,FALSE))</f>
        <v>45.8977</v>
      </c>
      <c r="CP7" s="75">
        <f>IF(ISNA(VLOOKUP(BQ7,UitslagFig!$C$5:$K$251,1,FALSE)),"",VLOOKUP(BQ7,UitslagFig!$C$5:$K$251,9,FALSE))</f>
        <v>43.9821</v>
      </c>
      <c r="CQ7" s="75">
        <f>IF(ISNA(VLOOKUP(BT7,UitslagFig!$C$5:$K$251,1,FALSE)),"",VLOOKUP(BT7,UitslagFig!$C$5:$K$251,9,FALSE))</f>
        <v>37.1688</v>
      </c>
      <c r="CR7" s="75">
        <f>IF(ISNA(VLOOKUP(BW7,UitslagFig!$C$5:$K$251,1,FALSE)),"",VLOOKUP(BW7,UitslagFig!$C$5:$K$251,9,FALSE))</f>
        <v>40.7911</v>
      </c>
      <c r="CS7" s="75">
        <f>IF(ISNA(VLOOKUP(BZ7,UitslagFig!$C$5:$K$251,1,FALSE)),"",VLOOKUP(BZ7,UitslagFig!$C$5:$K$251,9,FALSE))</f>
        <v>0</v>
      </c>
      <c r="CT7" s="75">
        <f>IF(ISNA(VLOOKUP(CC7,UitslagFig!$C$5:$K$251,1,FALSE)),"",VLOOKUP(CC7,UitslagFig!$C$5:$K$251,9,FALSE))</f>
        <v>0</v>
      </c>
      <c r="CU7" s="75">
        <f>IF(ISNA(VLOOKUP(CF7,UitslagFig!$C$5:$K$251,1,FALSE)),"",VLOOKUP(CF7,UitslagFig!$C$5:$K$251,9,FALSE))</f>
        <v>0</v>
      </c>
      <c r="CV7" s="75">
        <f>IF(ISNA(VLOOKUP(CI7,UitslagFig!$C$5:$K$251,1,FALSE)),"",VLOOKUP(CI7,UitslagFig!$C$5:$K$251,9,FALSE))</f>
        <v>0</v>
      </c>
      <c r="CW7" s="76">
        <f t="shared" si="37"/>
        <v>47.16</v>
      </c>
      <c r="CX7" s="76">
        <f t="shared" si="38"/>
        <v>43.2223</v>
      </c>
      <c r="CY7" s="76">
        <f t="shared" si="39"/>
        <v>45.8977</v>
      </c>
      <c r="CZ7" s="76">
        <f t="shared" si="40"/>
        <v>43.9821</v>
      </c>
      <c r="DA7" s="76">
        <f t="shared" si="41"/>
        <v>37.1688</v>
      </c>
      <c r="DB7" s="76">
        <f t="shared" si="42"/>
        <v>40.7911</v>
      </c>
      <c r="DC7" s="76">
        <f t="shared" si="43"/>
      </c>
      <c r="DD7" s="76">
        <f t="shared" si="44"/>
      </c>
      <c r="DE7" s="76">
        <f t="shared" si="45"/>
      </c>
      <c r="DF7" s="76">
        <f t="shared" si="46"/>
      </c>
      <c r="DG7" s="76">
        <f t="shared" si="47"/>
        <v>258.222</v>
      </c>
      <c r="DH7" s="76">
        <f t="shared" si="48"/>
        <v>43.037</v>
      </c>
      <c r="DI7" s="77">
        <f t="shared" si="49"/>
        <v>2</v>
      </c>
      <c r="DJ7" s="77">
        <f t="shared" si="50"/>
        <v>6</v>
      </c>
      <c r="DK7" s="78">
        <f>IF(DJ7&gt;0,IF(COUNT(CM7:CV7)&gt;=8,SUM(LARGE(CM7:CV7,{1;2;3;4;5;6;9;8}))/8,IF(COUNT(CM7:CV7)&gt;COUNT(CW7:DF7),(SUM(CM7:CV7)-MIN(CM7:CV7))/COUNT(CW7:DF7),AVERAGE(CW7:DF7))),0)</f>
        <v>32.27775</v>
      </c>
      <c r="DL7" s="79">
        <f t="shared" si="51"/>
        <v>1</v>
      </c>
      <c r="DM7" s="262"/>
    </row>
    <row r="8" spans="1:117" ht="12.75">
      <c r="A8" s="8">
        <v>4</v>
      </c>
      <c r="B8" s="24">
        <f>IF(F8="BM","BM",RANK(BF8,BF$5:BF$24))</f>
        <v>4</v>
      </c>
      <c r="C8" s="44">
        <f t="shared" si="0"/>
        <v>0</v>
      </c>
      <c r="D8" s="45">
        <f>IF(ISNA(VLOOKUP($BH8,UitslagFig!$C$5:$K$251,1,FALSE)),"",VLOOKUP($BH8,UitslagFig!$C$5:$K$251,3,FALSE))</f>
        <v>0</v>
      </c>
      <c r="E8" s="48">
        <f>IF(ISNA(VLOOKUP($BH8,UitslagFig!$C$5:$K$251,1,FALSE)),"",VLOOKUP($BH8,UitslagFig!$C$5:$K$251,5,FALSE))</f>
        <v>0</v>
      </c>
      <c r="F8" s="48"/>
      <c r="G8" s="250">
        <f t="shared" si="1"/>
        <v>0</v>
      </c>
      <c r="H8" s="50">
        <f t="shared" si="2"/>
        <v>0</v>
      </c>
      <c r="I8" s="24">
        <f t="shared" si="3"/>
      </c>
      <c r="J8" s="51">
        <f t="shared" si="4"/>
        <v>0</v>
      </c>
      <c r="K8" s="24">
        <f t="shared" si="5"/>
      </c>
      <c r="L8" s="64"/>
      <c r="M8" s="65"/>
      <c r="N8" s="65"/>
      <c r="O8" s="65"/>
      <c r="P8" s="65"/>
      <c r="Q8" s="54">
        <f t="shared" si="6"/>
        <v>0</v>
      </c>
      <c r="R8" s="55">
        <f t="shared" si="7"/>
        <v>0</v>
      </c>
      <c r="S8" s="55">
        <f t="shared" si="8"/>
        <v>0</v>
      </c>
      <c r="T8" s="55">
        <f t="shared" si="9"/>
        <v>0</v>
      </c>
      <c r="U8" s="55">
        <f t="shared" si="10"/>
        <v>0</v>
      </c>
      <c r="V8" s="56">
        <f t="shared" si="11"/>
        <v>0</v>
      </c>
      <c r="W8" s="57">
        <f t="shared" si="12"/>
        <v>0</v>
      </c>
      <c r="X8" s="58">
        <f t="shared" si="13"/>
        <v>4</v>
      </c>
      <c r="Y8" s="64"/>
      <c r="Z8" s="65"/>
      <c r="AA8" s="65"/>
      <c r="AB8" s="65"/>
      <c r="AC8" s="65"/>
      <c r="AD8" s="59">
        <f t="shared" si="14"/>
        <v>0</v>
      </c>
      <c r="AE8" s="60">
        <f t="shared" si="15"/>
        <v>0</v>
      </c>
      <c r="AF8" s="60">
        <f t="shared" si="16"/>
        <v>0</v>
      </c>
      <c r="AG8" s="60">
        <f t="shared" si="17"/>
        <v>0</v>
      </c>
      <c r="AH8" s="60">
        <f t="shared" si="18"/>
        <v>0</v>
      </c>
      <c r="AI8" s="61">
        <f t="shared" si="19"/>
        <v>0</v>
      </c>
      <c r="AJ8" s="62">
        <f t="shared" si="20"/>
        <v>0</v>
      </c>
      <c r="AK8" s="63">
        <f t="shared" si="21"/>
        <v>4</v>
      </c>
      <c r="AL8" s="64"/>
      <c r="AM8" s="65"/>
      <c r="AN8" s="65"/>
      <c r="AO8" s="65"/>
      <c r="AP8" s="65"/>
      <c r="AQ8" s="66">
        <f t="shared" si="22"/>
        <v>0</v>
      </c>
      <c r="AR8" s="67">
        <f t="shared" si="23"/>
        <v>0</v>
      </c>
      <c r="AS8" s="67">
        <f t="shared" si="24"/>
        <v>0</v>
      </c>
      <c r="AT8" s="67">
        <f t="shared" si="25"/>
        <v>0</v>
      </c>
      <c r="AU8" s="67">
        <f t="shared" si="26"/>
        <v>0</v>
      </c>
      <c r="AV8" s="68">
        <f t="shared" si="27"/>
        <v>0</v>
      </c>
      <c r="AW8" s="69">
        <f t="shared" si="28"/>
        <v>0</v>
      </c>
      <c r="AX8" s="70">
        <f t="shared" si="29"/>
        <v>4</v>
      </c>
      <c r="AY8" s="71">
        <v>0</v>
      </c>
      <c r="AZ8" s="259">
        <f t="shared" si="30"/>
        <v>0</v>
      </c>
      <c r="BA8" s="72">
        <f t="shared" si="31"/>
        <v>0</v>
      </c>
      <c r="BB8" s="74">
        <f t="shared" si="32"/>
        <v>0</v>
      </c>
      <c r="BC8" s="74">
        <f t="shared" si="33"/>
        <v>0</v>
      </c>
      <c r="BD8" s="74">
        <f t="shared" si="34"/>
        <v>0</v>
      </c>
      <c r="BE8" s="74">
        <f t="shared" si="35"/>
        <v>0</v>
      </c>
      <c r="BF8" s="74">
        <f t="shared" si="36"/>
        <v>0</v>
      </c>
      <c r="BG8" s="75">
        <f>IF(ISNA(VLOOKUP(BH8,UitslagFig!$C$5:$K$251,1,FALSE)),"",VLOOKUP(BH8,UitslagFig!$C$5:$K$251,2,FALSE))</f>
        <v>0</v>
      </c>
      <c r="BH8" s="260"/>
      <c r="BI8" s="47"/>
      <c r="BJ8" s="75">
        <f>IF(ISNA(VLOOKUP(BK8,UitslagFig!$C$5:$K$251,1,FALSE)),"",VLOOKUP(BK8,UitslagFig!$C$5:$K$251,2,FALSE))</f>
        <v>0</v>
      </c>
      <c r="BK8" s="260"/>
      <c r="BL8" s="47"/>
      <c r="BM8" s="75">
        <f>IF(ISNA(VLOOKUP(BN8,UitslagFig!$C$5:$K$251,1,FALSE)),"",VLOOKUP(BN8,UitslagFig!$C$5:$K$251,2,FALSE))</f>
        <v>0</v>
      </c>
      <c r="BN8" s="260"/>
      <c r="BO8" s="47"/>
      <c r="BP8" s="75">
        <f>IF(ISNA(VLOOKUP(BQ8,UitslagFig!$C$5:$K$251,1,FALSE)),"",VLOOKUP(BQ8,UitslagFig!$C$5:$K$251,2,FALSE))</f>
        <v>0</v>
      </c>
      <c r="BQ8" s="260"/>
      <c r="BR8" s="47"/>
      <c r="BS8" s="75">
        <f>IF(ISNA(VLOOKUP(BT8,UitslagFig!$C$5:$K$251,1,FALSE)),"",VLOOKUP(BT8,UitslagFig!$C$5:$K$251,2,FALSE))</f>
        <v>0</v>
      </c>
      <c r="BT8" s="260"/>
      <c r="BU8" s="47"/>
      <c r="BV8" s="75">
        <f>IF(ISNA(VLOOKUP(BW8,UitslagFig!$C$5:$K$251,1,FALSE)),"",VLOOKUP(BW8,UitslagFig!$C$5:$K$251,2,FALSE))</f>
        <v>0</v>
      </c>
      <c r="BW8" s="261"/>
      <c r="BX8" s="47"/>
      <c r="BY8" s="75">
        <f>IF(ISNA(VLOOKUP(BZ8,UitslagFig!$C$5:$K$251,1,FALSE)),"",VLOOKUP(BZ8,UitslagFig!$C$5:$K$251,2,FALSE))</f>
        <v>0</v>
      </c>
      <c r="BZ8" s="261"/>
      <c r="CA8" s="47"/>
      <c r="CB8" s="75">
        <f>IF(ISNA(VLOOKUP(CC8,UitslagFig!$C$5:$K$251,1,FALSE)),"",VLOOKUP(CC8,UitslagFig!$C$5:$K$251,2,FALSE))</f>
        <v>0</v>
      </c>
      <c r="CC8" s="261"/>
      <c r="CD8" s="47"/>
      <c r="CE8" s="75">
        <f>IF(ISNA(VLOOKUP(CF8,UitslagFig!$C$5:$K$251,1,FALSE)),"",VLOOKUP(CF8,UitslagFig!$C$5:$K$251,2,FALSE))</f>
        <v>0</v>
      </c>
      <c r="CF8" s="261"/>
      <c r="CG8" s="47"/>
      <c r="CH8" s="75">
        <f>IF(ISNA(VLOOKUP(CI8,UitslagFig!$C$5:$K$251,1,FALSE)),"",VLOOKUP(CI8,UitslagFig!$C$5:$K$251,2,FALSE))</f>
        <v>0</v>
      </c>
      <c r="CI8" s="261"/>
      <c r="CJ8" s="47"/>
      <c r="CK8" s="260"/>
      <c r="CL8" s="260"/>
      <c r="CM8" s="75">
        <f>IF(ISNA(VLOOKUP(BH8,UitslagFig!$C$5:$K$251,1,FALSE)),"",VLOOKUP(BH8,UitslagFig!$C$5:$K$251,9,FALSE))</f>
        <v>0</v>
      </c>
      <c r="CN8" s="75">
        <f>IF(ISNA(VLOOKUP(BK8,UitslagFig!$C$5:$K$251,1,FALSE)),"",VLOOKUP(BK8,UitslagFig!$C$5:$K$251,9,FALSE))</f>
        <v>0</v>
      </c>
      <c r="CO8" s="75">
        <f>IF(ISNA(VLOOKUP(BN8,UitslagFig!$C$5:$K$251,1,FALSE)),"",VLOOKUP(BN8,UitslagFig!$C$5:$K$251,9,FALSE))</f>
        <v>0</v>
      </c>
      <c r="CP8" s="75">
        <f>IF(ISNA(VLOOKUP(BQ8,UitslagFig!$C$5:$K$251,1,FALSE)),"",VLOOKUP(BQ8,UitslagFig!$C$5:$K$251,9,FALSE))</f>
        <v>0</v>
      </c>
      <c r="CQ8" s="75">
        <f>IF(ISNA(VLOOKUP(BT8,UitslagFig!$C$5:$K$251,1,FALSE)),"",VLOOKUP(BT8,UitslagFig!$C$5:$K$251,9,FALSE))</f>
        <v>0</v>
      </c>
      <c r="CR8" s="75">
        <f>IF(ISNA(VLOOKUP(BW8,UitslagFig!$C$5:$K$251,1,FALSE)),"",VLOOKUP(BW8,UitslagFig!$C$5:$K$251,9,FALSE))</f>
        <v>0</v>
      </c>
      <c r="CS8" s="75">
        <f>IF(ISNA(VLOOKUP(BZ8,UitslagFig!$C$5:$K$251,1,FALSE)),"",VLOOKUP(BZ8,UitslagFig!$C$5:$K$251,9,FALSE))</f>
        <v>0</v>
      </c>
      <c r="CT8" s="75">
        <f>IF(ISNA(VLOOKUP(CC8,UitslagFig!$C$5:$K$251,1,FALSE)),"",VLOOKUP(CC8,UitslagFig!$C$5:$K$251,9,FALSE))</f>
        <v>0</v>
      </c>
      <c r="CU8" s="75">
        <f>IF(ISNA(VLOOKUP(CF8,UitslagFig!$C$5:$K$251,1,FALSE)),"",VLOOKUP(CF8,UitslagFig!$C$5:$K$251,9,FALSE))</f>
        <v>0</v>
      </c>
      <c r="CV8" s="75">
        <f>IF(ISNA(VLOOKUP(CI8,UitslagFig!$C$5:$K$251,1,FALSE)),"",VLOOKUP(CI8,UitslagFig!$C$5:$K$251,9,FALSE))</f>
        <v>0</v>
      </c>
      <c r="CW8" s="76">
        <f t="shared" si="37"/>
      </c>
      <c r="CX8" s="76">
        <f t="shared" si="38"/>
      </c>
      <c r="CY8" s="76">
        <f t="shared" si="39"/>
      </c>
      <c r="CZ8" s="76">
        <f t="shared" si="40"/>
      </c>
      <c r="DA8" s="76">
        <f t="shared" si="41"/>
      </c>
      <c r="DB8" s="76">
        <f t="shared" si="42"/>
      </c>
      <c r="DC8" s="76">
        <f t="shared" si="43"/>
      </c>
      <c r="DD8" s="76">
        <f t="shared" si="44"/>
      </c>
      <c r="DE8" s="76">
        <f t="shared" si="45"/>
      </c>
      <c r="DF8" s="76">
        <f t="shared" si="46"/>
      </c>
      <c r="DG8" s="76">
        <f t="shared" si="47"/>
        <v>0</v>
      </c>
      <c r="DH8" s="76">
        <f t="shared" si="48"/>
        <v>0</v>
      </c>
      <c r="DI8" s="77">
        <f t="shared" si="49"/>
      </c>
      <c r="DJ8" s="77">
        <f t="shared" si="50"/>
        <v>0</v>
      </c>
      <c r="DK8" s="78">
        <f>IF(DJ8&gt;0,IF(COUNT(CM8:CV8)&gt;=8,SUM(LARGE(CM8:CV8,{1;2;3;4;5;6;9;8}))/8,IF(COUNT(CM8:CV8)&gt;COUNT(CW8:DF8),(SUM(CM8:CV8)-MIN(CM8:CV8))/COUNT(CW8:DF8),AVERAGE(CW8:DF8))),0)</f>
        <v>0</v>
      </c>
      <c r="DL8" s="79">
        <f t="shared" si="51"/>
      </c>
      <c r="DM8" s="262"/>
    </row>
    <row r="9" spans="1:117" ht="12.75">
      <c r="A9" s="8">
        <v>5</v>
      </c>
      <c r="B9" s="24">
        <f>IF(F9="BM","BM",RANK(BF9,BF$5:BF$24))</f>
        <v>4</v>
      </c>
      <c r="C9" s="44">
        <f t="shared" si="0"/>
        <v>0</v>
      </c>
      <c r="D9" s="45">
        <f>IF(ISNA(VLOOKUP($BH9,UitslagFig!$C$5:$K$251,1,FALSE)),"",VLOOKUP($BH9,UitslagFig!$C$5:$K$251,3,FALSE))</f>
        <v>0</v>
      </c>
      <c r="E9" s="48">
        <f>IF(ISNA(VLOOKUP($BH9,UitslagFig!$C$5:$K$251,1,FALSE)),"",VLOOKUP($BH9,UitslagFig!$C$5:$K$251,5,FALSE))</f>
        <v>0</v>
      </c>
      <c r="F9" s="48"/>
      <c r="G9" s="250">
        <f t="shared" si="1"/>
        <v>0</v>
      </c>
      <c r="H9" s="50">
        <f t="shared" si="2"/>
        <v>0</v>
      </c>
      <c r="I9" s="24">
        <f t="shared" si="3"/>
      </c>
      <c r="J9" s="51">
        <f t="shared" si="4"/>
        <v>0</v>
      </c>
      <c r="K9" s="24">
        <f t="shared" si="5"/>
      </c>
      <c r="L9" s="64"/>
      <c r="M9" s="65"/>
      <c r="N9" s="65"/>
      <c r="O9" s="65"/>
      <c r="P9" s="65"/>
      <c r="Q9" s="54">
        <f t="shared" si="6"/>
        <v>0</v>
      </c>
      <c r="R9" s="55">
        <f t="shared" si="7"/>
        <v>0</v>
      </c>
      <c r="S9" s="55">
        <f t="shared" si="8"/>
        <v>0</v>
      </c>
      <c r="T9" s="55">
        <f t="shared" si="9"/>
        <v>0</v>
      </c>
      <c r="U9" s="55">
        <f t="shared" si="10"/>
        <v>0</v>
      </c>
      <c r="V9" s="56">
        <f t="shared" si="11"/>
        <v>0</v>
      </c>
      <c r="W9" s="57">
        <f t="shared" si="12"/>
        <v>0</v>
      </c>
      <c r="X9" s="58">
        <f t="shared" si="13"/>
        <v>4</v>
      </c>
      <c r="Y9" s="64"/>
      <c r="Z9" s="65"/>
      <c r="AA9" s="65"/>
      <c r="AB9" s="65"/>
      <c r="AC9" s="65"/>
      <c r="AD9" s="59">
        <f t="shared" si="14"/>
        <v>0</v>
      </c>
      <c r="AE9" s="60">
        <f t="shared" si="15"/>
        <v>0</v>
      </c>
      <c r="AF9" s="60">
        <f t="shared" si="16"/>
        <v>0</v>
      </c>
      <c r="AG9" s="60">
        <f t="shared" si="17"/>
        <v>0</v>
      </c>
      <c r="AH9" s="60">
        <f t="shared" si="18"/>
        <v>0</v>
      </c>
      <c r="AI9" s="61">
        <f t="shared" si="19"/>
        <v>0</v>
      </c>
      <c r="AJ9" s="62">
        <f t="shared" si="20"/>
        <v>0</v>
      </c>
      <c r="AK9" s="63">
        <f t="shared" si="21"/>
        <v>4</v>
      </c>
      <c r="AL9" s="64"/>
      <c r="AM9" s="65"/>
      <c r="AN9" s="65"/>
      <c r="AO9" s="65"/>
      <c r="AP9" s="65"/>
      <c r="AQ9" s="66">
        <f t="shared" si="22"/>
        <v>0</v>
      </c>
      <c r="AR9" s="67">
        <f t="shared" si="23"/>
        <v>0</v>
      </c>
      <c r="AS9" s="67">
        <f t="shared" si="24"/>
        <v>0</v>
      </c>
      <c r="AT9" s="67">
        <f t="shared" si="25"/>
        <v>0</v>
      </c>
      <c r="AU9" s="67">
        <f t="shared" si="26"/>
        <v>0</v>
      </c>
      <c r="AV9" s="68">
        <f t="shared" si="27"/>
        <v>0</v>
      </c>
      <c r="AW9" s="69">
        <f t="shared" si="28"/>
        <v>0</v>
      </c>
      <c r="AX9" s="70">
        <f t="shared" si="29"/>
        <v>4</v>
      </c>
      <c r="AY9" s="71">
        <v>0</v>
      </c>
      <c r="AZ9" s="259">
        <f t="shared" si="30"/>
        <v>0</v>
      </c>
      <c r="BA9" s="72">
        <f t="shared" si="31"/>
        <v>0</v>
      </c>
      <c r="BB9" s="74">
        <f t="shared" si="32"/>
        <v>0</v>
      </c>
      <c r="BC9" s="74">
        <f t="shared" si="33"/>
        <v>0</v>
      </c>
      <c r="BD9" s="74">
        <f t="shared" si="34"/>
        <v>0</v>
      </c>
      <c r="BE9" s="74">
        <f t="shared" si="35"/>
        <v>0</v>
      </c>
      <c r="BF9" s="74">
        <f t="shared" si="36"/>
        <v>0</v>
      </c>
      <c r="BG9" s="75">
        <f>IF(ISNA(VLOOKUP(BH9,UitslagFig!$C$5:$K$251,1,FALSE)),"",VLOOKUP(BH9,UitslagFig!$C$5:$K$251,2,FALSE))</f>
        <v>0</v>
      </c>
      <c r="BH9" s="260"/>
      <c r="BI9" s="47"/>
      <c r="BJ9" s="75">
        <f>IF(ISNA(VLOOKUP(BK9,UitslagFig!$C$5:$K$251,1,FALSE)),"",VLOOKUP(BK9,UitslagFig!$C$5:$K$251,2,FALSE))</f>
        <v>0</v>
      </c>
      <c r="BK9" s="260"/>
      <c r="BL9" s="47"/>
      <c r="BM9" s="75">
        <f>IF(ISNA(VLOOKUP(BN9,UitslagFig!$C$5:$K$251,1,FALSE)),"",VLOOKUP(BN9,UitslagFig!$C$5:$K$251,2,FALSE))</f>
        <v>0</v>
      </c>
      <c r="BN9" s="260"/>
      <c r="BO9" s="47"/>
      <c r="BP9" s="75">
        <f>IF(ISNA(VLOOKUP(BQ9,UitslagFig!$C$5:$K$251,1,FALSE)),"",VLOOKUP(BQ9,UitslagFig!$C$5:$K$251,2,FALSE))</f>
        <v>0</v>
      </c>
      <c r="BQ9" s="260"/>
      <c r="BR9" s="47"/>
      <c r="BS9" s="75">
        <f>IF(ISNA(VLOOKUP(BT9,UitslagFig!$C$5:$K$251,1,FALSE)),"",VLOOKUP(BT9,UitslagFig!$C$5:$K$251,2,FALSE))</f>
        <v>0</v>
      </c>
      <c r="BT9" s="260"/>
      <c r="BU9" s="47"/>
      <c r="BV9" s="75">
        <f>IF(ISNA(VLOOKUP(BW9,UitslagFig!$C$5:$K$251,1,FALSE)),"",VLOOKUP(BW9,UitslagFig!$C$5:$K$251,2,FALSE))</f>
        <v>0</v>
      </c>
      <c r="BW9" s="260"/>
      <c r="BX9" s="47"/>
      <c r="BY9" s="75">
        <f>IF(ISNA(VLOOKUP(BZ9,UitslagFig!$C$5:$K$251,1,FALSE)),"",VLOOKUP(BZ9,UitslagFig!$C$5:$K$251,2,FALSE))</f>
        <v>0</v>
      </c>
      <c r="BZ9" s="261"/>
      <c r="CA9" s="47"/>
      <c r="CB9" s="75">
        <f>IF(ISNA(VLOOKUP(CC9,UitslagFig!$C$5:$K$251,1,FALSE)),"",VLOOKUP(CC9,UitslagFig!$C$5:$K$251,2,FALSE))</f>
        <v>0</v>
      </c>
      <c r="CC9" s="261"/>
      <c r="CD9" s="47"/>
      <c r="CE9" s="75">
        <f>IF(ISNA(VLOOKUP(CF9,UitslagFig!$C$5:$K$251,1,FALSE)),"",VLOOKUP(CF9,UitslagFig!$C$5:$K$251,2,FALSE))</f>
        <v>0</v>
      </c>
      <c r="CF9" s="261"/>
      <c r="CG9" s="47"/>
      <c r="CH9" s="75">
        <f>IF(ISNA(VLOOKUP(CI9,UitslagFig!$C$5:$K$251,1,FALSE)),"",VLOOKUP(CI9,UitslagFig!$C$5:$K$251,2,FALSE))</f>
        <v>0</v>
      </c>
      <c r="CI9" s="261"/>
      <c r="CJ9" s="47"/>
      <c r="CK9" s="260"/>
      <c r="CL9" s="260"/>
      <c r="CM9" s="75">
        <f>IF(ISNA(VLOOKUP(BH9,UitslagFig!$C$5:$K$251,1,FALSE)),"",VLOOKUP(BH9,UitslagFig!$C$5:$K$251,9,FALSE))</f>
        <v>0</v>
      </c>
      <c r="CN9" s="75">
        <f>IF(ISNA(VLOOKUP(BK9,UitslagFig!$C$5:$K$251,1,FALSE)),"",VLOOKUP(BK9,UitslagFig!$C$5:$K$251,9,FALSE))</f>
        <v>0</v>
      </c>
      <c r="CO9" s="75">
        <f>IF(ISNA(VLOOKUP(BN9,UitslagFig!$C$5:$K$251,1,FALSE)),"",VLOOKUP(BN9,UitslagFig!$C$5:$K$251,9,FALSE))</f>
        <v>0</v>
      </c>
      <c r="CP9" s="75">
        <f>IF(ISNA(VLOOKUP(BQ9,UitslagFig!$C$5:$K$251,1,FALSE)),"",VLOOKUP(BQ9,UitslagFig!$C$5:$K$251,9,FALSE))</f>
        <v>0</v>
      </c>
      <c r="CQ9" s="75">
        <f>IF(ISNA(VLOOKUP(BT9,UitslagFig!$C$5:$K$251,1,FALSE)),"",VLOOKUP(BT9,UitslagFig!$C$5:$K$251,9,FALSE))</f>
        <v>0</v>
      </c>
      <c r="CR9" s="75">
        <f>IF(ISNA(VLOOKUP(BW9,UitslagFig!$C$5:$K$251,1,FALSE)),"",VLOOKUP(BW9,UitslagFig!$C$5:$K$251,9,FALSE))</f>
        <v>0</v>
      </c>
      <c r="CS9" s="75">
        <f>IF(ISNA(VLOOKUP(BZ9,UitslagFig!$C$5:$K$251,1,FALSE)),"",VLOOKUP(BZ9,UitslagFig!$C$5:$K$251,9,FALSE))</f>
        <v>0</v>
      </c>
      <c r="CT9" s="75">
        <f>IF(ISNA(VLOOKUP(CC9,UitslagFig!$C$5:$K$251,1,FALSE)),"",VLOOKUP(CC9,UitslagFig!$C$5:$K$251,9,FALSE))</f>
        <v>0</v>
      </c>
      <c r="CU9" s="75">
        <f>IF(ISNA(VLOOKUP(CF9,UitslagFig!$C$5:$K$251,1,FALSE)),"",VLOOKUP(CF9,UitslagFig!$C$5:$K$251,9,FALSE))</f>
        <v>0</v>
      </c>
      <c r="CV9" s="75">
        <f>IF(ISNA(VLOOKUP(CI9,UitslagFig!$C$5:$K$251,1,FALSE)),"",VLOOKUP(CI9,UitslagFig!$C$5:$K$251,9,FALSE))</f>
        <v>0</v>
      </c>
      <c r="CW9" s="76">
        <f t="shared" si="37"/>
      </c>
      <c r="CX9" s="76">
        <f t="shared" si="38"/>
      </c>
      <c r="CY9" s="76">
        <f t="shared" si="39"/>
      </c>
      <c r="CZ9" s="76">
        <f t="shared" si="40"/>
      </c>
      <c r="DA9" s="76">
        <f t="shared" si="41"/>
      </c>
      <c r="DB9" s="76">
        <f t="shared" si="42"/>
      </c>
      <c r="DC9" s="76">
        <f t="shared" si="43"/>
      </c>
      <c r="DD9" s="76">
        <f t="shared" si="44"/>
      </c>
      <c r="DE9" s="76">
        <f t="shared" si="45"/>
      </c>
      <c r="DF9" s="76">
        <f t="shared" si="46"/>
      </c>
      <c r="DG9" s="76">
        <f t="shared" si="47"/>
        <v>0</v>
      </c>
      <c r="DH9" s="76">
        <f t="shared" si="48"/>
        <v>0</v>
      </c>
      <c r="DI9" s="77">
        <f t="shared" si="49"/>
      </c>
      <c r="DJ9" s="77">
        <f t="shared" si="50"/>
        <v>0</v>
      </c>
      <c r="DK9" s="78">
        <f>IF(DJ9&gt;0,IF(COUNT(CM9:CV9)&gt;=8,SUM(LARGE(CM9:CV9,{1;2;3;4;5;6;9;8}))/8,IF(COUNT(CM9:CV9)&gt;COUNT(CW9:DF9),(SUM(CM9:CV9)-MIN(CM9:CV9))/COUNT(CW9:DF9),AVERAGE(CW9:DF9))),0)</f>
        <v>0</v>
      </c>
      <c r="DL9" s="79">
        <f t="shared" si="51"/>
      </c>
      <c r="DM9" s="262"/>
    </row>
    <row r="10" spans="1:117" ht="12.75">
      <c r="A10" s="8">
        <v>6</v>
      </c>
      <c r="B10" s="24">
        <f>IF(F10="BM","BM",RANK(C10,C$5:C$24))</f>
        <v>4</v>
      </c>
      <c r="C10" s="44">
        <f t="shared" si="0"/>
        <v>0</v>
      </c>
      <c r="D10" s="45">
        <f>IF(ISNA(VLOOKUP($BH10,UitslagFig!$C$5:$K$251,1,FALSE)),"",VLOOKUP($BH10,UitslagFig!$C$5:$K$251,3,FALSE))</f>
        <v>0</v>
      </c>
      <c r="E10" s="48">
        <f>IF(ISNA(VLOOKUP($BH10,UitslagFig!$C$5:$K$251,1,FALSE)),"",VLOOKUP($BH10,UitslagFig!$C$5:$K$251,5,FALSE))</f>
        <v>0</v>
      </c>
      <c r="F10" s="48"/>
      <c r="G10" s="250">
        <f t="shared" si="1"/>
        <v>0</v>
      </c>
      <c r="H10" s="50">
        <f t="shared" si="2"/>
        <v>0</v>
      </c>
      <c r="I10" s="24">
        <f t="shared" si="3"/>
      </c>
      <c r="J10" s="51">
        <f t="shared" si="4"/>
        <v>0</v>
      </c>
      <c r="K10" s="24">
        <f t="shared" si="5"/>
      </c>
      <c r="L10" s="64"/>
      <c r="M10" s="65"/>
      <c r="N10" s="65"/>
      <c r="O10" s="65"/>
      <c r="P10" s="65"/>
      <c r="Q10" s="54">
        <f t="shared" si="6"/>
        <v>0</v>
      </c>
      <c r="R10" s="55">
        <f t="shared" si="7"/>
        <v>0</v>
      </c>
      <c r="S10" s="55">
        <f t="shared" si="8"/>
        <v>0</v>
      </c>
      <c r="T10" s="55">
        <f t="shared" si="9"/>
        <v>0</v>
      </c>
      <c r="U10" s="55">
        <f t="shared" si="10"/>
        <v>0</v>
      </c>
      <c r="V10" s="56">
        <f t="shared" si="11"/>
        <v>0</v>
      </c>
      <c r="W10" s="57">
        <f t="shared" si="12"/>
        <v>0</v>
      </c>
      <c r="X10" s="58">
        <f t="shared" si="13"/>
        <v>4</v>
      </c>
      <c r="Y10" s="64"/>
      <c r="Z10" s="65"/>
      <c r="AA10" s="65"/>
      <c r="AB10" s="65"/>
      <c r="AC10" s="65"/>
      <c r="AD10" s="59">
        <f t="shared" si="14"/>
        <v>0</v>
      </c>
      <c r="AE10" s="60">
        <f t="shared" si="15"/>
        <v>0</v>
      </c>
      <c r="AF10" s="60">
        <f t="shared" si="16"/>
        <v>0</v>
      </c>
      <c r="AG10" s="60">
        <f t="shared" si="17"/>
        <v>0</v>
      </c>
      <c r="AH10" s="60">
        <f t="shared" si="18"/>
        <v>0</v>
      </c>
      <c r="AI10" s="61">
        <f t="shared" si="19"/>
        <v>0</v>
      </c>
      <c r="AJ10" s="62">
        <f t="shared" si="20"/>
        <v>0</v>
      </c>
      <c r="AK10" s="63">
        <f t="shared" si="21"/>
        <v>4</v>
      </c>
      <c r="AL10" s="64"/>
      <c r="AM10" s="65"/>
      <c r="AN10" s="65"/>
      <c r="AO10" s="65"/>
      <c r="AP10" s="65"/>
      <c r="AQ10" s="66">
        <f t="shared" si="22"/>
        <v>0</v>
      </c>
      <c r="AR10" s="67">
        <f t="shared" si="23"/>
        <v>0</v>
      </c>
      <c r="AS10" s="67">
        <f t="shared" si="24"/>
        <v>0</v>
      </c>
      <c r="AT10" s="67">
        <f t="shared" si="25"/>
        <v>0</v>
      </c>
      <c r="AU10" s="67">
        <f t="shared" si="26"/>
        <v>0</v>
      </c>
      <c r="AV10" s="68">
        <f t="shared" si="27"/>
        <v>0</v>
      </c>
      <c r="AW10" s="69">
        <f t="shared" si="28"/>
        <v>0</v>
      </c>
      <c r="AX10" s="70">
        <f t="shared" si="29"/>
        <v>4</v>
      </c>
      <c r="AY10" s="71">
        <v>0</v>
      </c>
      <c r="AZ10" s="259">
        <f t="shared" si="30"/>
        <v>0</v>
      </c>
      <c r="BA10" s="72">
        <f t="shared" si="31"/>
        <v>0</v>
      </c>
      <c r="BB10" s="74">
        <f t="shared" si="32"/>
        <v>0</v>
      </c>
      <c r="BC10" s="74">
        <f t="shared" si="33"/>
        <v>0</v>
      </c>
      <c r="BD10" s="74">
        <f t="shared" si="34"/>
        <v>0</v>
      </c>
      <c r="BE10" s="74">
        <f t="shared" si="35"/>
        <v>0</v>
      </c>
      <c r="BF10" s="74">
        <f t="shared" si="36"/>
        <v>0</v>
      </c>
      <c r="BG10" s="75">
        <f>IF(ISNA(VLOOKUP(BH10,UitslagFig!$C$5:$K$251,1,FALSE)),"",VLOOKUP(BH10,UitslagFig!$C$5:$K$251,2,FALSE))</f>
        <v>0</v>
      </c>
      <c r="BH10" s="260"/>
      <c r="BI10" s="47"/>
      <c r="BJ10" s="75">
        <f>IF(ISNA(VLOOKUP(BK10,UitslagFig!$C$5:$K$251,1,FALSE)),"",VLOOKUP(BK10,UitslagFig!$C$5:$K$251,2,FALSE))</f>
        <v>0</v>
      </c>
      <c r="BK10" s="260"/>
      <c r="BL10" s="47"/>
      <c r="BM10" s="75">
        <f>IF(ISNA(VLOOKUP(BN10,UitslagFig!$C$5:$K$251,1,FALSE)),"",VLOOKUP(BN10,UitslagFig!$C$5:$K$251,2,FALSE))</f>
        <v>0</v>
      </c>
      <c r="BN10" s="260"/>
      <c r="BO10" s="47"/>
      <c r="BP10" s="75">
        <f>IF(ISNA(VLOOKUP(BQ10,UitslagFig!$C$5:$K$251,1,FALSE)),"",VLOOKUP(BQ10,UitslagFig!$C$5:$K$251,2,FALSE))</f>
        <v>0</v>
      </c>
      <c r="BQ10" s="260"/>
      <c r="BR10" s="47"/>
      <c r="BS10" s="75">
        <f>IF(ISNA(VLOOKUP(BT10,UitslagFig!$C$5:$K$251,1,FALSE)),"",VLOOKUP(BT10,UitslagFig!$C$5:$K$251,2,FALSE))</f>
        <v>0</v>
      </c>
      <c r="BT10" s="260"/>
      <c r="BU10" s="47"/>
      <c r="BV10" s="75">
        <f>IF(ISNA(VLOOKUP(BW10,UitslagFig!$C$5:$K$251,1,FALSE)),"",VLOOKUP(BW10,UitslagFig!$C$5:$K$251,2,FALSE))</f>
        <v>0</v>
      </c>
      <c r="BW10" s="261"/>
      <c r="BX10" s="47"/>
      <c r="BY10" s="75">
        <f>IF(ISNA(VLOOKUP(BZ10,UitslagFig!$C$5:$K$251,1,FALSE)),"",VLOOKUP(BZ10,UitslagFig!$C$5:$K$251,2,FALSE))</f>
        <v>0</v>
      </c>
      <c r="BZ10" s="261"/>
      <c r="CA10" s="47"/>
      <c r="CB10" s="75">
        <f>IF(ISNA(VLOOKUP(CC10,UitslagFig!$C$5:$K$251,1,FALSE)),"",VLOOKUP(CC10,UitslagFig!$C$5:$K$251,2,FALSE))</f>
        <v>0</v>
      </c>
      <c r="CC10" s="261"/>
      <c r="CD10" s="47"/>
      <c r="CE10" s="75">
        <f>IF(ISNA(VLOOKUP(CF10,UitslagFig!$C$5:$K$251,1,FALSE)),"",VLOOKUP(CF10,UitslagFig!$C$5:$K$251,2,FALSE))</f>
        <v>0</v>
      </c>
      <c r="CF10" s="261"/>
      <c r="CG10" s="47"/>
      <c r="CH10" s="75">
        <f>IF(ISNA(VLOOKUP(CI10,UitslagFig!$C$5:$K$251,1,FALSE)),"",VLOOKUP(CI10,UitslagFig!$C$5:$K$251,2,FALSE))</f>
        <v>0</v>
      </c>
      <c r="CI10" s="261"/>
      <c r="CJ10" s="47"/>
      <c r="CK10" s="260"/>
      <c r="CL10" s="260"/>
      <c r="CM10" s="75">
        <f>IF(ISNA(VLOOKUP(BH10,UitslagFig!$C$5:$K$251,1,FALSE)),"",VLOOKUP(BH10,UitslagFig!$C$5:$K$251,9,FALSE))</f>
        <v>0</v>
      </c>
      <c r="CN10" s="75">
        <f>IF(ISNA(VLOOKUP(BK10,UitslagFig!$C$5:$K$251,1,FALSE)),"",VLOOKUP(BK10,UitslagFig!$C$5:$K$251,9,FALSE))</f>
        <v>0</v>
      </c>
      <c r="CO10" s="75">
        <f>IF(ISNA(VLOOKUP(BN10,UitslagFig!$C$5:$K$251,1,FALSE)),"",VLOOKUP(BN10,UitslagFig!$C$5:$K$251,9,FALSE))</f>
        <v>0</v>
      </c>
      <c r="CP10" s="75">
        <f>IF(ISNA(VLOOKUP(BQ10,UitslagFig!$C$5:$K$251,1,FALSE)),"",VLOOKUP(BQ10,UitslagFig!$C$5:$K$251,9,FALSE))</f>
        <v>0</v>
      </c>
      <c r="CQ10" s="75">
        <f>IF(ISNA(VLOOKUP(BT10,UitslagFig!$C$5:$K$251,1,FALSE)),"",VLOOKUP(BT10,UitslagFig!$C$5:$K$251,9,FALSE))</f>
        <v>0</v>
      </c>
      <c r="CR10" s="75">
        <f>IF(ISNA(VLOOKUP(BW10,UitslagFig!$C$5:$K$251,1,FALSE)),"",VLOOKUP(BW10,UitslagFig!$C$5:$K$251,9,FALSE))</f>
        <v>0</v>
      </c>
      <c r="CS10" s="75">
        <f>IF(ISNA(VLOOKUP(BZ10,UitslagFig!$C$5:$K$251,1,FALSE)),"",VLOOKUP(BZ10,UitslagFig!$C$5:$K$251,9,FALSE))</f>
        <v>0</v>
      </c>
      <c r="CT10" s="75">
        <f>IF(ISNA(VLOOKUP(CC10,UitslagFig!$C$5:$K$251,1,FALSE)),"",VLOOKUP(CC10,UitslagFig!$C$5:$K$251,9,FALSE))</f>
        <v>0</v>
      </c>
      <c r="CU10" s="75">
        <f>IF(ISNA(VLOOKUP(CF10,UitslagFig!$C$5:$K$251,1,FALSE)),"",VLOOKUP(CF10,UitslagFig!$C$5:$K$251,9,FALSE))</f>
        <v>0</v>
      </c>
      <c r="CV10" s="75">
        <f>IF(ISNA(VLOOKUP(CI10,UitslagFig!$C$5:$K$251,1,FALSE)),"",VLOOKUP(CI10,UitslagFig!$C$5:$K$251,9,FALSE))</f>
        <v>0</v>
      </c>
      <c r="CW10" s="76">
        <f t="shared" si="37"/>
      </c>
      <c r="CX10" s="76">
        <f t="shared" si="38"/>
      </c>
      <c r="CY10" s="76">
        <f t="shared" si="39"/>
      </c>
      <c r="CZ10" s="76">
        <f t="shared" si="40"/>
      </c>
      <c r="DA10" s="76">
        <f t="shared" si="41"/>
      </c>
      <c r="DB10" s="76">
        <f t="shared" si="42"/>
      </c>
      <c r="DC10" s="76">
        <f t="shared" si="43"/>
      </c>
      <c r="DD10" s="76">
        <f t="shared" si="44"/>
      </c>
      <c r="DE10" s="76">
        <f t="shared" si="45"/>
      </c>
      <c r="DF10" s="76">
        <f t="shared" si="46"/>
      </c>
      <c r="DG10" s="76">
        <f t="shared" si="47"/>
        <v>0</v>
      </c>
      <c r="DH10" s="76">
        <f t="shared" si="48"/>
        <v>0</v>
      </c>
      <c r="DI10" s="77">
        <f t="shared" si="49"/>
      </c>
      <c r="DJ10" s="77">
        <f t="shared" si="50"/>
        <v>0</v>
      </c>
      <c r="DK10" s="78">
        <f>IF(DJ10&gt;0,IF(COUNT(CM10:CV10)&gt;=8,SUM(LARGE(CM10:CV10,{1;2;3;4;5;6;9;8}))/8,IF(COUNT(CM10:CV10)&gt;COUNT(CW10:DF10),(SUM(CM10:CV10)-MIN(CM10:CV10))/COUNT(CW10:DF10),AVERAGE(CW10:DF10))),0)</f>
        <v>0</v>
      </c>
      <c r="DL10" s="79">
        <f t="shared" si="51"/>
      </c>
      <c r="DM10" s="262"/>
    </row>
    <row r="11" spans="1:117" ht="12.75">
      <c r="A11" s="8">
        <v>7</v>
      </c>
      <c r="B11" s="24">
        <f aca="true" t="shared" si="52" ref="B11:B24">IF(F11="BM","BM",RANK(BF11,BF$5:BF$24))</f>
        <v>4</v>
      </c>
      <c r="C11" s="44">
        <f t="shared" si="0"/>
        <v>0</v>
      </c>
      <c r="D11" s="45">
        <f>IF(ISNA(VLOOKUP($BH11,UitslagFig!$C$5:$K$251,1,FALSE)),"",VLOOKUP($BH11,UitslagFig!$C$5:$K$251,3,FALSE))</f>
        <v>0</v>
      </c>
      <c r="E11" s="48">
        <f>IF(ISNA(VLOOKUP($BH11,UitslagFig!$C$5:$K$251,1,FALSE)),"",VLOOKUP($BH11,UitslagFig!$C$5:$K$251,5,FALSE))</f>
        <v>0</v>
      </c>
      <c r="F11" s="48"/>
      <c r="G11" s="250">
        <f t="shared" si="1"/>
        <v>0</v>
      </c>
      <c r="H11" s="50">
        <f t="shared" si="2"/>
        <v>0</v>
      </c>
      <c r="I11" s="24">
        <f t="shared" si="3"/>
      </c>
      <c r="J11" s="51">
        <f t="shared" si="4"/>
        <v>0</v>
      </c>
      <c r="K11" s="24">
        <f t="shared" si="5"/>
      </c>
      <c r="L11" s="64"/>
      <c r="M11" s="65"/>
      <c r="N11" s="65"/>
      <c r="O11" s="65"/>
      <c r="P11" s="65"/>
      <c r="Q11" s="54">
        <f t="shared" si="6"/>
        <v>0</v>
      </c>
      <c r="R11" s="55">
        <f t="shared" si="7"/>
        <v>0</v>
      </c>
      <c r="S11" s="55">
        <f t="shared" si="8"/>
        <v>0</v>
      </c>
      <c r="T11" s="55">
        <f t="shared" si="9"/>
        <v>0</v>
      </c>
      <c r="U11" s="55">
        <f t="shared" si="10"/>
        <v>0</v>
      </c>
      <c r="V11" s="56">
        <f t="shared" si="11"/>
        <v>0</v>
      </c>
      <c r="W11" s="57">
        <f t="shared" si="12"/>
        <v>0</v>
      </c>
      <c r="X11" s="58">
        <f t="shared" si="13"/>
        <v>4</v>
      </c>
      <c r="Y11" s="64"/>
      <c r="Z11" s="65"/>
      <c r="AA11" s="65"/>
      <c r="AB11" s="65"/>
      <c r="AC11" s="65"/>
      <c r="AD11" s="59">
        <f t="shared" si="14"/>
        <v>0</v>
      </c>
      <c r="AE11" s="60">
        <f t="shared" si="15"/>
        <v>0</v>
      </c>
      <c r="AF11" s="60">
        <f t="shared" si="16"/>
        <v>0</v>
      </c>
      <c r="AG11" s="60">
        <f t="shared" si="17"/>
        <v>0</v>
      </c>
      <c r="AH11" s="60">
        <f t="shared" si="18"/>
        <v>0</v>
      </c>
      <c r="AI11" s="61">
        <f t="shared" si="19"/>
        <v>0</v>
      </c>
      <c r="AJ11" s="62">
        <f t="shared" si="20"/>
        <v>0</v>
      </c>
      <c r="AK11" s="63">
        <f t="shared" si="21"/>
        <v>4</v>
      </c>
      <c r="AL11" s="64"/>
      <c r="AM11" s="65"/>
      <c r="AN11" s="65"/>
      <c r="AO11" s="65"/>
      <c r="AP11" s="65"/>
      <c r="AQ11" s="66">
        <f t="shared" si="22"/>
        <v>0</v>
      </c>
      <c r="AR11" s="67">
        <f t="shared" si="23"/>
        <v>0</v>
      </c>
      <c r="AS11" s="67">
        <f t="shared" si="24"/>
        <v>0</v>
      </c>
      <c r="AT11" s="67">
        <f t="shared" si="25"/>
        <v>0</v>
      </c>
      <c r="AU11" s="67">
        <f t="shared" si="26"/>
        <v>0</v>
      </c>
      <c r="AV11" s="68">
        <f t="shared" si="27"/>
        <v>0</v>
      </c>
      <c r="AW11" s="69">
        <f t="shared" si="28"/>
        <v>0</v>
      </c>
      <c r="AX11" s="70">
        <f t="shared" si="29"/>
        <v>4</v>
      </c>
      <c r="AY11" s="71">
        <v>0</v>
      </c>
      <c r="AZ11" s="259">
        <f t="shared" si="30"/>
        <v>0</v>
      </c>
      <c r="BA11" s="72">
        <f t="shared" si="31"/>
        <v>0</v>
      </c>
      <c r="BB11" s="74">
        <f t="shared" si="32"/>
        <v>0</v>
      </c>
      <c r="BC11" s="74">
        <f t="shared" si="33"/>
        <v>0</v>
      </c>
      <c r="BD11" s="74">
        <f t="shared" si="34"/>
        <v>0</v>
      </c>
      <c r="BE11" s="74">
        <f t="shared" si="35"/>
        <v>0</v>
      </c>
      <c r="BF11" s="74">
        <f t="shared" si="36"/>
        <v>0</v>
      </c>
      <c r="BG11" s="75">
        <f>IF(ISNA(VLOOKUP(BH11,UitslagFig!$C$5:$K$251,1,FALSE)),"",VLOOKUP(BH11,UitslagFig!$C$5:$K$251,2,FALSE))</f>
        <v>0</v>
      </c>
      <c r="BH11" s="260"/>
      <c r="BI11" s="47"/>
      <c r="BJ11" s="75">
        <f>IF(ISNA(VLOOKUP(BK11,UitslagFig!$C$5:$K$251,1,FALSE)),"",VLOOKUP(BK11,UitslagFig!$C$5:$K$251,2,FALSE))</f>
        <v>0</v>
      </c>
      <c r="BK11" s="260"/>
      <c r="BL11" s="47"/>
      <c r="BM11" s="75">
        <f>IF(ISNA(VLOOKUP(BN11,UitslagFig!$C$5:$K$251,1,FALSE)),"",VLOOKUP(BN11,UitslagFig!$C$5:$K$251,2,FALSE))</f>
        <v>0</v>
      </c>
      <c r="BN11" s="260"/>
      <c r="BO11" s="47"/>
      <c r="BP11" s="75">
        <f>IF(ISNA(VLOOKUP(BQ11,UitslagFig!$C$5:$K$251,1,FALSE)),"",VLOOKUP(BQ11,UitslagFig!$C$5:$K$251,2,FALSE))</f>
        <v>0</v>
      </c>
      <c r="BQ11" s="260"/>
      <c r="BR11" s="47"/>
      <c r="BS11" s="75">
        <f>IF(ISNA(VLOOKUP(BT11,UitslagFig!$C$5:$K$251,1,FALSE)),"",VLOOKUP(BT11,UitslagFig!$C$5:$K$251,2,FALSE))</f>
        <v>0</v>
      </c>
      <c r="BT11" s="261"/>
      <c r="BU11" s="47"/>
      <c r="BV11" s="75">
        <f>IF(ISNA(VLOOKUP(BW11,UitslagFig!$C$5:$K$251,1,FALSE)),"",VLOOKUP(BW11,UitslagFig!$C$5:$K$251,2,FALSE))</f>
        <v>0</v>
      </c>
      <c r="BW11" s="261"/>
      <c r="BX11" s="47"/>
      <c r="BY11" s="75">
        <f>IF(ISNA(VLOOKUP(BZ11,UitslagFig!$C$5:$K$251,1,FALSE)),"",VLOOKUP(BZ11,UitslagFig!$C$5:$K$251,2,FALSE))</f>
        <v>0</v>
      </c>
      <c r="BZ11" s="261"/>
      <c r="CA11" s="47"/>
      <c r="CB11" s="75">
        <f>IF(ISNA(VLOOKUP(CC11,UitslagFig!$C$5:$K$251,1,FALSE)),"",VLOOKUP(CC11,UitslagFig!$C$5:$K$251,2,FALSE))</f>
        <v>0</v>
      </c>
      <c r="CC11" s="261"/>
      <c r="CD11" s="47"/>
      <c r="CE11" s="75">
        <f>IF(ISNA(VLOOKUP(CF11,UitslagFig!$C$5:$K$251,1,FALSE)),"",VLOOKUP(CF11,UitslagFig!$C$5:$K$251,2,FALSE))</f>
        <v>0</v>
      </c>
      <c r="CF11" s="261"/>
      <c r="CG11" s="47"/>
      <c r="CH11" s="75">
        <f>IF(ISNA(VLOOKUP(CI11,UitslagFig!$C$5:$K$251,1,FALSE)),"",VLOOKUP(CI11,UitslagFig!$C$5:$K$251,2,FALSE))</f>
        <v>0</v>
      </c>
      <c r="CI11" s="261"/>
      <c r="CJ11" s="47"/>
      <c r="CK11" s="260"/>
      <c r="CL11" s="260"/>
      <c r="CM11" s="75">
        <f>IF(ISNA(VLOOKUP(BH11,UitslagFig!$C$5:$K$251,1,FALSE)),"",VLOOKUP(BH11,UitslagFig!$C$5:$K$251,9,FALSE))</f>
        <v>0</v>
      </c>
      <c r="CN11" s="75">
        <f>IF(ISNA(VLOOKUP(BK11,UitslagFig!$C$5:$K$251,1,FALSE)),"",VLOOKUP(BK11,UitslagFig!$C$5:$K$251,9,FALSE))</f>
        <v>0</v>
      </c>
      <c r="CO11" s="75">
        <f>IF(ISNA(VLOOKUP(BN11,UitslagFig!$C$5:$K$251,1,FALSE)),"",VLOOKUP(BN11,UitslagFig!$C$5:$K$251,9,FALSE))</f>
        <v>0</v>
      </c>
      <c r="CP11" s="75">
        <f>IF(ISNA(VLOOKUP(BQ11,UitslagFig!$C$5:$K$251,1,FALSE)),"",VLOOKUP(BQ11,UitslagFig!$C$5:$K$251,9,FALSE))</f>
        <v>0</v>
      </c>
      <c r="CQ11" s="75">
        <f>IF(ISNA(VLOOKUP(BT11,UitslagFig!$C$5:$K$251,1,FALSE)),"",VLOOKUP(BT11,UitslagFig!$C$5:$K$251,9,FALSE))</f>
        <v>0</v>
      </c>
      <c r="CR11" s="75">
        <f>IF(ISNA(VLOOKUP(BW11,UitslagFig!$C$5:$K$251,1,FALSE)),"",VLOOKUP(BW11,UitslagFig!$C$5:$K$251,9,FALSE))</f>
        <v>0</v>
      </c>
      <c r="CS11" s="75">
        <f>IF(ISNA(VLOOKUP(BZ11,UitslagFig!$C$5:$K$251,1,FALSE)),"",VLOOKUP(BZ11,UitslagFig!$C$5:$K$251,9,FALSE))</f>
        <v>0</v>
      </c>
      <c r="CT11" s="75">
        <f>IF(ISNA(VLOOKUP(CC11,UitslagFig!$C$5:$K$251,1,FALSE)),"",VLOOKUP(CC11,UitslagFig!$C$5:$K$251,9,FALSE))</f>
        <v>0</v>
      </c>
      <c r="CU11" s="75">
        <f>IF(ISNA(VLOOKUP(CF11,UitslagFig!$C$5:$K$251,1,FALSE)),"",VLOOKUP(CF11,UitslagFig!$C$5:$K$251,9,FALSE))</f>
        <v>0</v>
      </c>
      <c r="CV11" s="75">
        <f>IF(ISNA(VLOOKUP(CI11,UitslagFig!$C$5:$K$251,1,FALSE)),"",VLOOKUP(CI11,UitslagFig!$C$5:$K$251,9,FALSE))</f>
        <v>0</v>
      </c>
      <c r="CW11" s="76">
        <f t="shared" si="37"/>
      </c>
      <c r="CX11" s="76">
        <f t="shared" si="38"/>
      </c>
      <c r="CY11" s="76">
        <f t="shared" si="39"/>
      </c>
      <c r="CZ11" s="76">
        <f t="shared" si="40"/>
      </c>
      <c r="DA11" s="76">
        <f t="shared" si="41"/>
      </c>
      <c r="DB11" s="76">
        <f t="shared" si="42"/>
      </c>
      <c r="DC11" s="76">
        <f t="shared" si="43"/>
      </c>
      <c r="DD11" s="76">
        <f t="shared" si="44"/>
      </c>
      <c r="DE11" s="76">
        <f t="shared" si="45"/>
      </c>
      <c r="DF11" s="76">
        <f t="shared" si="46"/>
      </c>
      <c r="DG11" s="76">
        <f t="shared" si="47"/>
        <v>0</v>
      </c>
      <c r="DH11" s="76">
        <f t="shared" si="48"/>
        <v>0</v>
      </c>
      <c r="DI11" s="77">
        <f t="shared" si="49"/>
      </c>
      <c r="DJ11" s="77">
        <f t="shared" si="50"/>
        <v>0</v>
      </c>
      <c r="DK11" s="78">
        <f>IF(DJ11&gt;0,IF(COUNT(CM11:CV11)&gt;=8,SUM(LARGE(CM11:CV11,{1;2;3;4;5;6;9;8}))/8,IF(COUNT(CM11:CV11)&gt;COUNT(CW11:DF11),(SUM(CM11:CV11)-MIN(CM11:CV11))/COUNT(CW11:DF11),AVERAGE(CW11:DF11))),0)</f>
        <v>0</v>
      </c>
      <c r="DL11" s="79">
        <f t="shared" si="51"/>
      </c>
      <c r="DM11" s="262"/>
    </row>
    <row r="12" spans="1:117" ht="12.75">
      <c r="A12" s="8">
        <v>8</v>
      </c>
      <c r="B12" s="24">
        <f t="shared" si="52"/>
        <v>4</v>
      </c>
      <c r="C12" s="44">
        <f t="shared" si="0"/>
        <v>0</v>
      </c>
      <c r="D12" s="45">
        <f>IF(ISNA(VLOOKUP($BH12,UitslagFig!$C$5:$K$251,1,FALSE)),"",VLOOKUP($BH12,UitslagFig!$C$5:$K$251,3,FALSE))</f>
        <v>0</v>
      </c>
      <c r="E12" s="48">
        <f>IF(ISNA(VLOOKUP($BH12,UitslagFig!$C$5:$K$251,1,FALSE)),"",VLOOKUP($BH12,UitslagFig!$C$5:$K$251,5,FALSE))</f>
        <v>0</v>
      </c>
      <c r="F12" s="48"/>
      <c r="G12" s="250">
        <f t="shared" si="1"/>
        <v>0</v>
      </c>
      <c r="H12" s="50">
        <f t="shared" si="2"/>
        <v>0</v>
      </c>
      <c r="I12" s="24">
        <f t="shared" si="3"/>
      </c>
      <c r="J12" s="51">
        <f t="shared" si="4"/>
        <v>0</v>
      </c>
      <c r="K12" s="24">
        <f t="shared" si="5"/>
      </c>
      <c r="L12" s="64"/>
      <c r="M12" s="65"/>
      <c r="N12" s="65"/>
      <c r="O12" s="65"/>
      <c r="P12" s="65"/>
      <c r="Q12" s="54">
        <f t="shared" si="6"/>
        <v>0</v>
      </c>
      <c r="R12" s="55">
        <f t="shared" si="7"/>
        <v>0</v>
      </c>
      <c r="S12" s="55">
        <f t="shared" si="8"/>
        <v>0</v>
      </c>
      <c r="T12" s="55">
        <f t="shared" si="9"/>
        <v>0</v>
      </c>
      <c r="U12" s="55">
        <f t="shared" si="10"/>
        <v>0</v>
      </c>
      <c r="V12" s="56">
        <f t="shared" si="11"/>
        <v>0</v>
      </c>
      <c r="W12" s="57">
        <f t="shared" si="12"/>
        <v>0</v>
      </c>
      <c r="X12" s="58">
        <f t="shared" si="13"/>
        <v>4</v>
      </c>
      <c r="Y12" s="64"/>
      <c r="Z12" s="65"/>
      <c r="AA12" s="65"/>
      <c r="AB12" s="65"/>
      <c r="AC12" s="65"/>
      <c r="AD12" s="59">
        <f t="shared" si="14"/>
        <v>0</v>
      </c>
      <c r="AE12" s="60">
        <f t="shared" si="15"/>
        <v>0</v>
      </c>
      <c r="AF12" s="60">
        <f t="shared" si="16"/>
        <v>0</v>
      </c>
      <c r="AG12" s="60">
        <f t="shared" si="17"/>
        <v>0</v>
      </c>
      <c r="AH12" s="60">
        <f t="shared" si="18"/>
        <v>0</v>
      </c>
      <c r="AI12" s="61">
        <f t="shared" si="19"/>
        <v>0</v>
      </c>
      <c r="AJ12" s="62">
        <f t="shared" si="20"/>
        <v>0</v>
      </c>
      <c r="AK12" s="63">
        <f t="shared" si="21"/>
        <v>4</v>
      </c>
      <c r="AL12" s="64"/>
      <c r="AM12" s="65"/>
      <c r="AN12" s="65"/>
      <c r="AO12" s="65"/>
      <c r="AP12" s="65"/>
      <c r="AQ12" s="66">
        <f t="shared" si="22"/>
        <v>0</v>
      </c>
      <c r="AR12" s="67">
        <f t="shared" si="23"/>
        <v>0</v>
      </c>
      <c r="AS12" s="67">
        <f t="shared" si="24"/>
        <v>0</v>
      </c>
      <c r="AT12" s="67">
        <f t="shared" si="25"/>
        <v>0</v>
      </c>
      <c r="AU12" s="67">
        <f t="shared" si="26"/>
        <v>0</v>
      </c>
      <c r="AV12" s="68">
        <f t="shared" si="27"/>
        <v>0</v>
      </c>
      <c r="AW12" s="69">
        <f t="shared" si="28"/>
        <v>0</v>
      </c>
      <c r="AX12" s="70">
        <f t="shared" si="29"/>
        <v>4</v>
      </c>
      <c r="AY12" s="71">
        <v>0</v>
      </c>
      <c r="AZ12" s="259">
        <f t="shared" si="30"/>
        <v>0</v>
      </c>
      <c r="BA12" s="72">
        <f t="shared" si="31"/>
        <v>0</v>
      </c>
      <c r="BB12" s="74">
        <f t="shared" si="32"/>
        <v>0</v>
      </c>
      <c r="BC12" s="74">
        <f t="shared" si="33"/>
        <v>0</v>
      </c>
      <c r="BD12" s="74">
        <f t="shared" si="34"/>
        <v>0</v>
      </c>
      <c r="BE12" s="74">
        <f t="shared" si="35"/>
        <v>0</v>
      </c>
      <c r="BF12" s="74">
        <f t="shared" si="36"/>
        <v>0</v>
      </c>
      <c r="BG12" s="75">
        <f>IF(ISNA(VLOOKUP(BH12,UitslagFig!$C$5:$K$251,1,FALSE)),"",VLOOKUP(BH12,UitslagFig!$C$5:$K$251,2,FALSE))</f>
        <v>0</v>
      </c>
      <c r="BH12" s="260"/>
      <c r="BI12" s="47"/>
      <c r="BJ12" s="75">
        <f>IF(ISNA(VLOOKUP(BK12,UitslagFig!$C$5:$K$251,1,FALSE)),"",VLOOKUP(BK12,UitslagFig!$C$5:$K$251,2,FALSE))</f>
        <v>0</v>
      </c>
      <c r="BK12" s="260"/>
      <c r="BL12" s="47"/>
      <c r="BM12" s="75">
        <f>IF(ISNA(VLOOKUP(BN12,UitslagFig!$C$5:$K$251,1,FALSE)),"",VLOOKUP(BN12,UitslagFig!$C$5:$K$251,2,FALSE))</f>
        <v>0</v>
      </c>
      <c r="BN12" s="260"/>
      <c r="BO12" s="47"/>
      <c r="BP12" s="75">
        <f>IF(ISNA(VLOOKUP(BQ12,UitslagFig!$C$5:$K$251,1,FALSE)),"",VLOOKUP(BQ12,UitslagFig!$C$5:$K$251,2,FALSE))</f>
        <v>0</v>
      </c>
      <c r="BQ12" s="260"/>
      <c r="BR12" s="47"/>
      <c r="BS12" s="75">
        <f>IF(ISNA(VLOOKUP(BT12,UitslagFig!$C$5:$K$251,1,FALSE)),"",VLOOKUP(BT12,UitslagFig!$C$5:$K$251,2,FALSE))</f>
        <v>0</v>
      </c>
      <c r="BT12" s="261"/>
      <c r="BU12" s="47"/>
      <c r="BV12" s="75">
        <f>IF(ISNA(VLOOKUP(BW12,UitslagFig!$C$5:$K$251,1,FALSE)),"",VLOOKUP(BW12,UitslagFig!$C$5:$K$251,2,FALSE))</f>
        <v>0</v>
      </c>
      <c r="BW12" s="261"/>
      <c r="BX12" s="47"/>
      <c r="BY12" s="75">
        <f>IF(ISNA(VLOOKUP(BZ12,UitslagFig!$C$5:$K$251,1,FALSE)),"",VLOOKUP(BZ12,UitslagFig!$C$5:$K$251,2,FALSE))</f>
        <v>0</v>
      </c>
      <c r="BZ12" s="261"/>
      <c r="CA12" s="47"/>
      <c r="CB12" s="75">
        <f>IF(ISNA(VLOOKUP(CC12,UitslagFig!$C$5:$K$251,1,FALSE)),"",VLOOKUP(CC12,UitslagFig!$C$5:$K$251,2,FALSE))</f>
        <v>0</v>
      </c>
      <c r="CC12" s="261"/>
      <c r="CD12" s="47"/>
      <c r="CE12" s="75">
        <f>IF(ISNA(VLOOKUP(CF12,UitslagFig!$C$5:$K$251,1,FALSE)),"",VLOOKUP(CF12,UitslagFig!$C$5:$K$251,2,FALSE))</f>
        <v>0</v>
      </c>
      <c r="CF12" s="261"/>
      <c r="CG12" s="47"/>
      <c r="CH12" s="75">
        <f>IF(ISNA(VLOOKUP(CI12,UitslagFig!$C$5:$K$251,1,FALSE)),"",VLOOKUP(CI12,UitslagFig!$C$5:$K$251,2,FALSE))</f>
        <v>0</v>
      </c>
      <c r="CI12" s="261"/>
      <c r="CJ12" s="47"/>
      <c r="CK12" s="260"/>
      <c r="CL12" s="260"/>
      <c r="CM12" s="75">
        <f>IF(ISNA(VLOOKUP(BH12,UitslagFig!$C$5:$K$251,1,FALSE)),"",VLOOKUP(BH12,UitslagFig!$C$5:$K$251,9,FALSE))</f>
        <v>0</v>
      </c>
      <c r="CN12" s="75">
        <f>IF(ISNA(VLOOKUP(BK12,UitslagFig!$C$5:$K$251,1,FALSE)),"",VLOOKUP(BK12,UitslagFig!$C$5:$K$251,9,FALSE))</f>
        <v>0</v>
      </c>
      <c r="CO12" s="75">
        <f>IF(ISNA(VLOOKUP(BN12,UitslagFig!$C$5:$K$251,1,FALSE)),"",VLOOKUP(BN12,UitslagFig!$C$5:$K$251,9,FALSE))</f>
        <v>0</v>
      </c>
      <c r="CP12" s="75">
        <f>IF(ISNA(VLOOKUP(BQ12,UitslagFig!$C$5:$K$251,1,FALSE)),"",VLOOKUP(BQ12,UitslagFig!$C$5:$K$251,9,FALSE))</f>
        <v>0</v>
      </c>
      <c r="CQ12" s="75">
        <f>IF(ISNA(VLOOKUP(BT12,UitslagFig!$C$5:$K$251,1,FALSE)),"",VLOOKUP(BT12,UitslagFig!$C$5:$K$251,9,FALSE))</f>
        <v>0</v>
      </c>
      <c r="CR12" s="75">
        <f>IF(ISNA(VLOOKUP(BW12,UitslagFig!$C$5:$K$251,1,FALSE)),"",VLOOKUP(BW12,UitslagFig!$C$5:$K$251,9,FALSE))</f>
        <v>0</v>
      </c>
      <c r="CS12" s="75">
        <f>IF(ISNA(VLOOKUP(BZ12,UitslagFig!$C$5:$K$251,1,FALSE)),"",VLOOKUP(BZ12,UitslagFig!$C$5:$K$251,9,FALSE))</f>
        <v>0</v>
      </c>
      <c r="CT12" s="75">
        <f>IF(ISNA(VLOOKUP(CC12,UitslagFig!$C$5:$K$251,1,FALSE)),"",VLOOKUP(CC12,UitslagFig!$C$5:$K$251,9,FALSE))</f>
        <v>0</v>
      </c>
      <c r="CU12" s="75">
        <f>IF(ISNA(VLOOKUP(CF12,UitslagFig!$C$5:$K$251,1,FALSE)),"",VLOOKUP(CF12,UitslagFig!$C$5:$K$251,9,FALSE))</f>
        <v>0</v>
      </c>
      <c r="CV12" s="75">
        <f>IF(ISNA(VLOOKUP(CI12,UitslagFig!$C$5:$K$251,1,FALSE)),"",VLOOKUP(CI12,UitslagFig!$C$5:$K$251,9,FALSE))</f>
        <v>0</v>
      </c>
      <c r="CW12" s="76">
        <f t="shared" si="37"/>
      </c>
      <c r="CX12" s="76">
        <f t="shared" si="38"/>
      </c>
      <c r="CY12" s="76">
        <f t="shared" si="39"/>
      </c>
      <c r="CZ12" s="76">
        <f t="shared" si="40"/>
      </c>
      <c r="DA12" s="76">
        <f t="shared" si="41"/>
      </c>
      <c r="DB12" s="76">
        <f t="shared" si="42"/>
      </c>
      <c r="DC12" s="76">
        <f t="shared" si="43"/>
      </c>
      <c r="DD12" s="76">
        <f t="shared" si="44"/>
      </c>
      <c r="DE12" s="76">
        <f t="shared" si="45"/>
      </c>
      <c r="DF12" s="76">
        <f t="shared" si="46"/>
      </c>
      <c r="DG12" s="76">
        <f t="shared" si="47"/>
        <v>0</v>
      </c>
      <c r="DH12" s="76">
        <f t="shared" si="48"/>
        <v>0</v>
      </c>
      <c r="DI12" s="77">
        <f t="shared" si="49"/>
      </c>
      <c r="DJ12" s="77">
        <f t="shared" si="50"/>
        <v>0</v>
      </c>
      <c r="DK12" s="78">
        <f>IF(DJ12&gt;0,IF(COUNT(CM12:CV12)&gt;=8,SUM(LARGE(CM12:CV12,{1;2;3;4;5;6;9;8}))/8,IF(COUNT(CM12:CV12)&gt;COUNT(CW12:DF12),(SUM(CM12:CV12)-MIN(CM12:CV12))/COUNT(CW12:DF12),AVERAGE(CW12:DF12))),0)</f>
        <v>0</v>
      </c>
      <c r="DL12" s="79">
        <f t="shared" si="51"/>
      </c>
      <c r="DM12" s="262"/>
    </row>
    <row r="13" spans="1:117" ht="12.75">
      <c r="A13" s="8">
        <v>9</v>
      </c>
      <c r="B13" s="24">
        <f t="shared" si="52"/>
        <v>4</v>
      </c>
      <c r="C13" s="44">
        <f t="shared" si="0"/>
        <v>0</v>
      </c>
      <c r="D13" s="45">
        <f>IF(ISNA(VLOOKUP($BH13,UitslagFig!$C$5:$K$251,1,FALSE)),"",VLOOKUP($BH13,UitslagFig!$C$5:$K$251,3,FALSE))</f>
        <v>0</v>
      </c>
      <c r="E13" s="48">
        <f>IF(ISNA(VLOOKUP($BH13,UitslagFig!$C$5:$K$251,1,FALSE)),"",VLOOKUP($BH13,UitslagFig!$C$5:$K$251,5,FALSE))</f>
        <v>0</v>
      </c>
      <c r="F13" s="48"/>
      <c r="G13" s="250">
        <f t="shared" si="1"/>
        <v>0</v>
      </c>
      <c r="H13" s="50">
        <f t="shared" si="2"/>
        <v>0</v>
      </c>
      <c r="I13" s="24">
        <f t="shared" si="3"/>
      </c>
      <c r="J13" s="51">
        <f t="shared" si="4"/>
        <v>0</v>
      </c>
      <c r="K13" s="24">
        <f t="shared" si="5"/>
      </c>
      <c r="L13" s="64"/>
      <c r="M13" s="65"/>
      <c r="N13" s="65"/>
      <c r="O13" s="65"/>
      <c r="P13" s="65"/>
      <c r="Q13" s="54">
        <f t="shared" si="6"/>
        <v>0</v>
      </c>
      <c r="R13" s="55">
        <f t="shared" si="7"/>
        <v>0</v>
      </c>
      <c r="S13" s="55">
        <f t="shared" si="8"/>
        <v>0</v>
      </c>
      <c r="T13" s="55">
        <f t="shared" si="9"/>
        <v>0</v>
      </c>
      <c r="U13" s="55">
        <f t="shared" si="10"/>
        <v>0</v>
      </c>
      <c r="V13" s="56">
        <f t="shared" si="11"/>
        <v>0</v>
      </c>
      <c r="W13" s="57">
        <f t="shared" si="12"/>
        <v>0</v>
      </c>
      <c r="X13" s="58">
        <f t="shared" si="13"/>
        <v>4</v>
      </c>
      <c r="Y13" s="64"/>
      <c r="Z13" s="65"/>
      <c r="AA13" s="65"/>
      <c r="AB13" s="65"/>
      <c r="AC13" s="65"/>
      <c r="AD13" s="59">
        <f t="shared" si="14"/>
        <v>0</v>
      </c>
      <c r="AE13" s="60">
        <f t="shared" si="15"/>
        <v>0</v>
      </c>
      <c r="AF13" s="60">
        <f t="shared" si="16"/>
        <v>0</v>
      </c>
      <c r="AG13" s="60">
        <f t="shared" si="17"/>
        <v>0</v>
      </c>
      <c r="AH13" s="60">
        <f t="shared" si="18"/>
        <v>0</v>
      </c>
      <c r="AI13" s="61">
        <f t="shared" si="19"/>
        <v>0</v>
      </c>
      <c r="AJ13" s="62">
        <f t="shared" si="20"/>
        <v>0</v>
      </c>
      <c r="AK13" s="63">
        <f t="shared" si="21"/>
        <v>4</v>
      </c>
      <c r="AL13" s="64"/>
      <c r="AM13" s="65"/>
      <c r="AN13" s="65"/>
      <c r="AO13" s="65"/>
      <c r="AP13" s="65"/>
      <c r="AQ13" s="66">
        <f t="shared" si="22"/>
        <v>0</v>
      </c>
      <c r="AR13" s="67">
        <f t="shared" si="23"/>
        <v>0</v>
      </c>
      <c r="AS13" s="67">
        <f t="shared" si="24"/>
        <v>0</v>
      </c>
      <c r="AT13" s="67">
        <f t="shared" si="25"/>
        <v>0</v>
      </c>
      <c r="AU13" s="67">
        <f t="shared" si="26"/>
        <v>0</v>
      </c>
      <c r="AV13" s="68">
        <f t="shared" si="27"/>
        <v>0</v>
      </c>
      <c r="AW13" s="69">
        <f t="shared" si="28"/>
        <v>0</v>
      </c>
      <c r="AX13" s="70">
        <f t="shared" si="29"/>
        <v>4</v>
      </c>
      <c r="AY13" s="71">
        <v>0</v>
      </c>
      <c r="AZ13" s="259">
        <f t="shared" si="30"/>
        <v>0</v>
      </c>
      <c r="BA13" s="72">
        <f t="shared" si="31"/>
        <v>0</v>
      </c>
      <c r="BB13" s="74">
        <f t="shared" si="32"/>
        <v>0</v>
      </c>
      <c r="BC13" s="74">
        <f t="shared" si="33"/>
        <v>0</v>
      </c>
      <c r="BD13" s="74">
        <f t="shared" si="34"/>
        <v>0</v>
      </c>
      <c r="BE13" s="74">
        <f t="shared" si="35"/>
        <v>0</v>
      </c>
      <c r="BF13" s="74">
        <f t="shared" si="36"/>
        <v>0</v>
      </c>
      <c r="BG13" s="75">
        <f>IF(ISNA(VLOOKUP(BH13,UitslagFig!$C$5:$K$251,1,FALSE)),"",VLOOKUP(BH13,UitslagFig!$C$5:$K$251,2,FALSE))</f>
        <v>0</v>
      </c>
      <c r="BH13" s="260"/>
      <c r="BI13" s="47"/>
      <c r="BJ13" s="75">
        <f>IF(ISNA(VLOOKUP(BK13,UitslagFig!$C$5:$K$251,1,FALSE)),"",VLOOKUP(BK13,UitslagFig!$C$5:$K$251,2,FALSE))</f>
        <v>0</v>
      </c>
      <c r="BK13" s="260"/>
      <c r="BL13" s="47"/>
      <c r="BM13" s="75">
        <f>IF(ISNA(VLOOKUP(BN13,UitslagFig!$C$5:$K$251,1,FALSE)),"",VLOOKUP(BN13,UitslagFig!$C$5:$K$251,2,FALSE))</f>
        <v>0</v>
      </c>
      <c r="BN13" s="260"/>
      <c r="BO13" s="47"/>
      <c r="BP13" s="75">
        <f>IF(ISNA(VLOOKUP(BQ13,UitslagFig!$C$5:$K$251,1,FALSE)),"",VLOOKUP(BQ13,UitslagFig!$C$5:$K$251,2,FALSE))</f>
        <v>0</v>
      </c>
      <c r="BQ13" s="260"/>
      <c r="BR13" s="47"/>
      <c r="BS13" s="75">
        <f>IF(ISNA(VLOOKUP(BT13,UitslagFig!$C$5:$K$251,1,FALSE)),"",VLOOKUP(BT13,UitslagFig!$C$5:$K$251,2,FALSE))</f>
        <v>0</v>
      </c>
      <c r="BT13" s="260"/>
      <c r="BU13" s="47"/>
      <c r="BV13" s="75">
        <f>IF(ISNA(VLOOKUP(BW13,UitslagFig!$C$5:$K$251,1,FALSE)),"",VLOOKUP(BW13,UitslagFig!$C$5:$K$251,2,FALSE))</f>
        <v>0</v>
      </c>
      <c r="BW13" s="260"/>
      <c r="BX13" s="47"/>
      <c r="BY13" s="75">
        <f>IF(ISNA(VLOOKUP(BZ13,UitslagFig!$C$5:$K$251,1,FALSE)),"",VLOOKUP(BZ13,UitslagFig!$C$5:$K$251,2,FALSE))</f>
        <v>0</v>
      </c>
      <c r="BZ13" s="261"/>
      <c r="CA13" s="47"/>
      <c r="CB13" s="75">
        <f>IF(ISNA(VLOOKUP(CC13,UitslagFig!$C$5:$K$251,1,FALSE)),"",VLOOKUP(CC13,UitslagFig!$C$5:$K$251,2,FALSE))</f>
        <v>0</v>
      </c>
      <c r="CC13" s="261"/>
      <c r="CD13" s="47"/>
      <c r="CE13" s="75">
        <f>IF(ISNA(VLOOKUP(CF13,UitslagFig!$C$5:$K$251,1,FALSE)),"",VLOOKUP(CF13,UitslagFig!$C$5:$K$251,2,FALSE))</f>
        <v>0</v>
      </c>
      <c r="CF13" s="261"/>
      <c r="CG13" s="47"/>
      <c r="CH13" s="75">
        <f>IF(ISNA(VLOOKUP(CI13,UitslagFig!$C$5:$K$251,1,FALSE)),"",VLOOKUP(CI13,UitslagFig!$C$5:$K$251,2,FALSE))</f>
        <v>0</v>
      </c>
      <c r="CI13" s="261"/>
      <c r="CJ13" s="47"/>
      <c r="CK13" s="260"/>
      <c r="CL13" s="260"/>
      <c r="CM13" s="75">
        <f>IF(ISNA(VLOOKUP(BH13,UitslagFig!$C$5:$K$251,1,FALSE)),"",VLOOKUP(BH13,UitslagFig!$C$5:$K$251,9,FALSE))</f>
        <v>0</v>
      </c>
      <c r="CN13" s="75">
        <f>IF(ISNA(VLOOKUP(BK13,UitslagFig!$C$5:$K$251,1,FALSE)),"",VLOOKUP(BK13,UitslagFig!$C$5:$K$251,9,FALSE))</f>
        <v>0</v>
      </c>
      <c r="CO13" s="75">
        <f>IF(ISNA(VLOOKUP(BN13,UitslagFig!$C$5:$K$251,1,FALSE)),"",VLOOKUP(BN13,UitslagFig!$C$5:$K$251,9,FALSE))</f>
        <v>0</v>
      </c>
      <c r="CP13" s="75">
        <f>IF(ISNA(VLOOKUP(BQ13,UitslagFig!$C$5:$K$251,1,FALSE)),"",VLOOKUP(BQ13,UitslagFig!$C$5:$K$251,9,FALSE))</f>
        <v>0</v>
      </c>
      <c r="CQ13" s="75">
        <f>IF(ISNA(VLOOKUP(BT13,UitslagFig!$C$5:$K$251,1,FALSE)),"",VLOOKUP(BT13,UitslagFig!$C$5:$K$251,9,FALSE))</f>
        <v>0</v>
      </c>
      <c r="CR13" s="75">
        <f>IF(ISNA(VLOOKUP(BW13,UitslagFig!$C$5:$K$251,1,FALSE)),"",VLOOKUP(BW13,UitslagFig!$C$5:$K$251,9,FALSE))</f>
        <v>0</v>
      </c>
      <c r="CS13" s="75">
        <f>IF(ISNA(VLOOKUP(BZ13,UitslagFig!$C$5:$K$251,1,FALSE)),"",VLOOKUP(BZ13,UitslagFig!$C$5:$K$251,9,FALSE))</f>
        <v>0</v>
      </c>
      <c r="CT13" s="75">
        <f>IF(ISNA(VLOOKUP(CC13,UitslagFig!$C$5:$K$251,1,FALSE)),"",VLOOKUP(CC13,UitslagFig!$C$5:$K$251,9,FALSE))</f>
        <v>0</v>
      </c>
      <c r="CU13" s="75">
        <f>IF(ISNA(VLOOKUP(CF13,UitslagFig!$C$5:$K$251,1,FALSE)),"",VLOOKUP(CF13,UitslagFig!$C$5:$K$251,9,FALSE))</f>
        <v>0</v>
      </c>
      <c r="CV13" s="75">
        <f>IF(ISNA(VLOOKUP(CI13,UitslagFig!$C$5:$K$251,1,FALSE)),"",VLOOKUP(CI13,UitslagFig!$C$5:$K$251,9,FALSE))</f>
        <v>0</v>
      </c>
      <c r="CW13" s="76">
        <f t="shared" si="37"/>
      </c>
      <c r="CX13" s="76">
        <f t="shared" si="38"/>
      </c>
      <c r="CY13" s="76">
        <f t="shared" si="39"/>
      </c>
      <c r="CZ13" s="76">
        <f t="shared" si="40"/>
      </c>
      <c r="DA13" s="76">
        <f t="shared" si="41"/>
      </c>
      <c r="DB13" s="76">
        <f t="shared" si="42"/>
      </c>
      <c r="DC13" s="76">
        <f t="shared" si="43"/>
      </c>
      <c r="DD13" s="76">
        <f t="shared" si="44"/>
      </c>
      <c r="DE13" s="76">
        <f t="shared" si="45"/>
      </c>
      <c r="DF13" s="76">
        <f t="shared" si="46"/>
      </c>
      <c r="DG13" s="76">
        <f t="shared" si="47"/>
        <v>0</v>
      </c>
      <c r="DH13" s="76">
        <f t="shared" si="48"/>
        <v>0</v>
      </c>
      <c r="DI13" s="77">
        <f t="shared" si="49"/>
      </c>
      <c r="DJ13" s="77">
        <f t="shared" si="50"/>
        <v>0</v>
      </c>
      <c r="DK13" s="78">
        <f>IF(DJ13&gt;0,IF(COUNT(CM13:CV13)&gt;=8,SUM(LARGE(CM13:CV13,{1;2;3;4;5;6;9;8}))/8,IF(COUNT(CM13:CV13)&gt;COUNT(CW13:DF13),(SUM(CM13:CV13)-MIN(CM13:CV13))/COUNT(CW13:DF13),AVERAGE(CW13:DF13))),0)</f>
        <v>0</v>
      </c>
      <c r="DL13" s="79">
        <f t="shared" si="51"/>
      </c>
      <c r="DM13" s="262"/>
    </row>
    <row r="14" spans="1:117" ht="12.75">
      <c r="A14" s="8">
        <v>10</v>
      </c>
      <c r="B14" s="24">
        <f t="shared" si="52"/>
        <v>4</v>
      </c>
      <c r="C14" s="44">
        <f t="shared" si="0"/>
        <v>0</v>
      </c>
      <c r="D14" s="45">
        <f>IF(ISNA(VLOOKUP($BH14,UitslagFig!$C$5:$K$251,1,FALSE)),"",VLOOKUP($BH14,UitslagFig!$C$5:$K$251,3,FALSE))</f>
        <v>0</v>
      </c>
      <c r="E14" s="48">
        <f>IF(ISNA(VLOOKUP($BH14,UitslagFig!$C$5:$K$251,1,FALSE)),"",VLOOKUP($BH14,UitslagFig!$C$5:$K$251,5,FALSE))</f>
        <v>0</v>
      </c>
      <c r="F14" s="48"/>
      <c r="G14" s="250">
        <f t="shared" si="1"/>
        <v>0</v>
      </c>
      <c r="H14" s="50">
        <f t="shared" si="2"/>
        <v>0</v>
      </c>
      <c r="I14" s="24">
        <f t="shared" si="3"/>
      </c>
      <c r="J14" s="51">
        <f t="shared" si="4"/>
        <v>0</v>
      </c>
      <c r="K14" s="24">
        <f t="shared" si="5"/>
      </c>
      <c r="L14" s="64"/>
      <c r="M14" s="65"/>
      <c r="N14" s="65"/>
      <c r="O14" s="65"/>
      <c r="P14" s="65"/>
      <c r="Q14" s="54">
        <f t="shared" si="6"/>
        <v>0</v>
      </c>
      <c r="R14" s="55">
        <f t="shared" si="7"/>
        <v>0</v>
      </c>
      <c r="S14" s="55">
        <f t="shared" si="8"/>
        <v>0</v>
      </c>
      <c r="T14" s="55">
        <f t="shared" si="9"/>
        <v>0</v>
      </c>
      <c r="U14" s="55">
        <f t="shared" si="10"/>
        <v>0</v>
      </c>
      <c r="V14" s="56">
        <f t="shared" si="11"/>
        <v>0</v>
      </c>
      <c r="W14" s="57">
        <f t="shared" si="12"/>
        <v>0</v>
      </c>
      <c r="X14" s="58">
        <f t="shared" si="13"/>
        <v>4</v>
      </c>
      <c r="Y14" s="64"/>
      <c r="Z14" s="65"/>
      <c r="AA14" s="65"/>
      <c r="AB14" s="65"/>
      <c r="AC14" s="65"/>
      <c r="AD14" s="59">
        <f t="shared" si="14"/>
        <v>0</v>
      </c>
      <c r="AE14" s="60">
        <f t="shared" si="15"/>
        <v>0</v>
      </c>
      <c r="AF14" s="60">
        <f t="shared" si="16"/>
        <v>0</v>
      </c>
      <c r="AG14" s="60">
        <f t="shared" si="17"/>
        <v>0</v>
      </c>
      <c r="AH14" s="60">
        <f t="shared" si="18"/>
        <v>0</v>
      </c>
      <c r="AI14" s="61">
        <f t="shared" si="19"/>
        <v>0</v>
      </c>
      <c r="AJ14" s="62">
        <f t="shared" si="20"/>
        <v>0</v>
      </c>
      <c r="AK14" s="63">
        <f t="shared" si="21"/>
        <v>4</v>
      </c>
      <c r="AL14" s="64"/>
      <c r="AM14" s="65"/>
      <c r="AN14" s="65"/>
      <c r="AO14" s="65"/>
      <c r="AP14" s="65"/>
      <c r="AQ14" s="66">
        <f t="shared" si="22"/>
        <v>0</v>
      </c>
      <c r="AR14" s="67">
        <f t="shared" si="23"/>
        <v>0</v>
      </c>
      <c r="AS14" s="67">
        <f t="shared" si="24"/>
        <v>0</v>
      </c>
      <c r="AT14" s="67">
        <f t="shared" si="25"/>
        <v>0</v>
      </c>
      <c r="AU14" s="67">
        <f t="shared" si="26"/>
        <v>0</v>
      </c>
      <c r="AV14" s="68">
        <f t="shared" si="27"/>
        <v>0</v>
      </c>
      <c r="AW14" s="69">
        <f t="shared" si="28"/>
        <v>0</v>
      </c>
      <c r="AX14" s="70">
        <f t="shared" si="29"/>
        <v>4</v>
      </c>
      <c r="AY14" s="71">
        <v>0</v>
      </c>
      <c r="AZ14" s="259">
        <f t="shared" si="30"/>
        <v>0</v>
      </c>
      <c r="BA14" s="72">
        <f t="shared" si="31"/>
        <v>0</v>
      </c>
      <c r="BB14" s="74">
        <f t="shared" si="32"/>
        <v>0</v>
      </c>
      <c r="BC14" s="74">
        <f t="shared" si="33"/>
        <v>0</v>
      </c>
      <c r="BD14" s="74">
        <f t="shared" si="34"/>
        <v>0</v>
      </c>
      <c r="BE14" s="74">
        <f t="shared" si="35"/>
        <v>0</v>
      </c>
      <c r="BF14" s="74">
        <f t="shared" si="36"/>
        <v>0</v>
      </c>
      <c r="BG14" s="75">
        <f>IF(ISNA(VLOOKUP(BH14,UitslagFig!$C$5:$K$251,1,FALSE)),"",VLOOKUP(BH14,UitslagFig!$C$5:$K$251,2,FALSE))</f>
        <v>0</v>
      </c>
      <c r="BH14" s="260"/>
      <c r="BI14" s="47"/>
      <c r="BJ14" s="75">
        <f>IF(ISNA(VLOOKUP(BK14,UitslagFig!$C$5:$K$251,1,FALSE)),"",VLOOKUP(BK14,UitslagFig!$C$5:$K$251,2,FALSE))</f>
        <v>0</v>
      </c>
      <c r="BK14" s="260"/>
      <c r="BL14" s="47"/>
      <c r="BM14" s="75">
        <f>IF(ISNA(VLOOKUP(BN14,UitslagFig!$C$5:$K$251,1,FALSE)),"",VLOOKUP(BN14,UitslagFig!$C$5:$K$251,2,FALSE))</f>
        <v>0</v>
      </c>
      <c r="BN14" s="260"/>
      <c r="BO14" s="47"/>
      <c r="BP14" s="75">
        <f>IF(ISNA(VLOOKUP(BQ14,UitslagFig!$C$5:$K$251,1,FALSE)),"",VLOOKUP(BQ14,UitslagFig!$C$5:$K$251,2,FALSE))</f>
        <v>0</v>
      </c>
      <c r="BQ14" s="260"/>
      <c r="BR14" s="47"/>
      <c r="BS14" s="75">
        <f>IF(ISNA(VLOOKUP(BT14,UitslagFig!$C$5:$K$251,1,FALSE)),"",VLOOKUP(BT14,UitslagFig!$C$5:$K$251,2,FALSE))</f>
        <v>0</v>
      </c>
      <c r="BT14" s="260"/>
      <c r="BU14" s="47"/>
      <c r="BV14" s="75">
        <f>IF(ISNA(VLOOKUP(BW14,UitslagFig!$C$5:$K$251,1,FALSE)),"",VLOOKUP(BW14,UitslagFig!$C$5:$K$251,2,FALSE))</f>
        <v>0</v>
      </c>
      <c r="BW14" s="260"/>
      <c r="BX14" s="47"/>
      <c r="BY14" s="75">
        <f>IF(ISNA(VLOOKUP(BZ14,UitslagFig!$C$5:$K$251,1,FALSE)),"",VLOOKUP(BZ14,UitslagFig!$C$5:$K$251,2,FALSE))</f>
        <v>0</v>
      </c>
      <c r="BZ14" s="260"/>
      <c r="CA14" s="47"/>
      <c r="CB14" s="75">
        <f>IF(ISNA(VLOOKUP(CC14,UitslagFig!$C$5:$K$251,1,FALSE)),"",VLOOKUP(CC14,UitslagFig!$C$5:$K$251,2,FALSE))</f>
        <v>0</v>
      </c>
      <c r="CC14" s="261"/>
      <c r="CD14" s="47"/>
      <c r="CE14" s="75">
        <f>IF(ISNA(VLOOKUP(CF14,UitslagFig!$C$5:$K$251,1,FALSE)),"",VLOOKUP(CF14,UitslagFig!$C$5:$K$251,2,FALSE))</f>
        <v>0</v>
      </c>
      <c r="CF14" s="261"/>
      <c r="CG14" s="47"/>
      <c r="CH14" s="75">
        <f>IF(ISNA(VLOOKUP(CI14,UitslagFig!$C$5:$K$251,1,FALSE)),"",VLOOKUP(CI14,UitslagFig!$C$5:$K$251,2,FALSE))</f>
        <v>0</v>
      </c>
      <c r="CI14" s="261"/>
      <c r="CJ14" s="47"/>
      <c r="CK14" s="260"/>
      <c r="CL14" s="260"/>
      <c r="CM14" s="75">
        <f>IF(ISNA(VLOOKUP(BH14,UitslagFig!$C$5:$K$251,1,FALSE)),"",VLOOKUP(BH14,UitslagFig!$C$5:$K$251,9,FALSE))</f>
        <v>0</v>
      </c>
      <c r="CN14" s="75">
        <f>IF(ISNA(VLOOKUP(BK14,UitslagFig!$C$5:$K$251,1,FALSE)),"",VLOOKUP(BK14,UitslagFig!$C$5:$K$251,9,FALSE))</f>
        <v>0</v>
      </c>
      <c r="CO14" s="75">
        <f>IF(ISNA(VLOOKUP(BN14,UitslagFig!$C$5:$K$251,1,FALSE)),"",VLOOKUP(BN14,UitslagFig!$C$5:$K$251,9,FALSE))</f>
        <v>0</v>
      </c>
      <c r="CP14" s="75">
        <f>IF(ISNA(VLOOKUP(BQ14,UitslagFig!$C$5:$K$251,1,FALSE)),"",VLOOKUP(BQ14,UitslagFig!$C$5:$K$251,9,FALSE))</f>
        <v>0</v>
      </c>
      <c r="CQ14" s="75">
        <f>IF(ISNA(VLOOKUP(BT14,UitslagFig!$C$5:$K$251,1,FALSE)),"",VLOOKUP(BT14,UitslagFig!$C$5:$K$251,9,FALSE))</f>
        <v>0</v>
      </c>
      <c r="CR14" s="75">
        <f>IF(ISNA(VLOOKUP(BW14,UitslagFig!$C$5:$K$251,1,FALSE)),"",VLOOKUP(BW14,UitslagFig!$C$5:$K$251,9,FALSE))</f>
        <v>0</v>
      </c>
      <c r="CS14" s="75">
        <f>IF(ISNA(VLOOKUP(BZ14,UitslagFig!$C$5:$K$251,1,FALSE)),"",VLOOKUP(BZ14,UitslagFig!$C$5:$K$251,9,FALSE))</f>
        <v>0</v>
      </c>
      <c r="CT14" s="75">
        <f>IF(ISNA(VLOOKUP(CC14,UitslagFig!$C$5:$K$251,1,FALSE)),"",VLOOKUP(CC14,UitslagFig!$C$5:$K$251,9,FALSE))</f>
        <v>0</v>
      </c>
      <c r="CU14" s="75">
        <f>IF(ISNA(VLOOKUP(CF14,UitslagFig!$C$5:$K$251,1,FALSE)),"",VLOOKUP(CF14,UitslagFig!$C$5:$K$251,9,FALSE))</f>
        <v>0</v>
      </c>
      <c r="CV14" s="75">
        <f>IF(ISNA(VLOOKUP(CI14,UitslagFig!$C$5:$K$251,1,FALSE)),"",VLOOKUP(CI14,UitslagFig!$C$5:$K$251,9,FALSE))</f>
        <v>0</v>
      </c>
      <c r="CW14" s="76">
        <f t="shared" si="37"/>
      </c>
      <c r="CX14" s="76">
        <f t="shared" si="38"/>
      </c>
      <c r="CY14" s="76">
        <f t="shared" si="39"/>
      </c>
      <c r="CZ14" s="76">
        <f t="shared" si="40"/>
      </c>
      <c r="DA14" s="76">
        <f t="shared" si="41"/>
      </c>
      <c r="DB14" s="76">
        <f t="shared" si="42"/>
      </c>
      <c r="DC14" s="76">
        <f t="shared" si="43"/>
      </c>
      <c r="DD14" s="76">
        <f t="shared" si="44"/>
      </c>
      <c r="DE14" s="76">
        <f t="shared" si="45"/>
      </c>
      <c r="DF14" s="76">
        <f t="shared" si="46"/>
      </c>
      <c r="DG14" s="76">
        <f t="shared" si="47"/>
        <v>0</v>
      </c>
      <c r="DH14" s="76">
        <f t="shared" si="48"/>
        <v>0</v>
      </c>
      <c r="DI14" s="77">
        <f t="shared" si="49"/>
      </c>
      <c r="DJ14" s="77">
        <f t="shared" si="50"/>
        <v>0</v>
      </c>
      <c r="DK14" s="78">
        <f>IF(DJ14&gt;0,IF(COUNT(CM14:CV14)&gt;=8,SUM(LARGE(CM14:CV14,{1;2;3;4;5;6;9;8}))/8,IF(COUNT(CM14:CV14)&gt;COUNT(CW14:DF14),(SUM(CM14:CV14)-MIN(CM14:CV14))/COUNT(CW14:DF14),AVERAGE(CW14:DF14))),0)</f>
        <v>0</v>
      </c>
      <c r="DL14" s="79">
        <f t="shared" si="51"/>
      </c>
      <c r="DM14" s="262"/>
    </row>
    <row r="15" spans="1:117" ht="12.75">
      <c r="A15" s="8">
        <v>11</v>
      </c>
      <c r="B15" s="24">
        <f t="shared" si="52"/>
        <v>4</v>
      </c>
      <c r="C15" s="44">
        <f t="shared" si="0"/>
        <v>0</v>
      </c>
      <c r="D15" s="45">
        <f>IF(ISNA(VLOOKUP($BH15,UitslagFig!$C$5:$K$251,1,FALSE)),"",VLOOKUP($BH15,UitslagFig!$C$5:$K$251,3,FALSE))</f>
        <v>0</v>
      </c>
      <c r="E15" s="48">
        <f>IF(ISNA(VLOOKUP($BH15,UitslagFig!$C$5:$K$251,1,FALSE)),"",VLOOKUP($BH15,UitslagFig!$C$5:$K$251,5,FALSE))</f>
        <v>0</v>
      </c>
      <c r="F15" s="48"/>
      <c r="G15" s="250">
        <f t="shared" si="1"/>
        <v>0</v>
      </c>
      <c r="H15" s="50">
        <f t="shared" si="2"/>
        <v>0</v>
      </c>
      <c r="I15" s="24">
        <f t="shared" si="3"/>
      </c>
      <c r="J15" s="51">
        <f t="shared" si="4"/>
        <v>0</v>
      </c>
      <c r="K15" s="24">
        <f t="shared" si="5"/>
      </c>
      <c r="L15" s="64"/>
      <c r="M15" s="65"/>
      <c r="N15" s="65"/>
      <c r="O15" s="65"/>
      <c r="P15" s="65"/>
      <c r="Q15" s="54">
        <f t="shared" si="6"/>
        <v>0</v>
      </c>
      <c r="R15" s="55">
        <f t="shared" si="7"/>
        <v>0</v>
      </c>
      <c r="S15" s="55">
        <f t="shared" si="8"/>
        <v>0</v>
      </c>
      <c r="T15" s="55">
        <f t="shared" si="9"/>
        <v>0</v>
      </c>
      <c r="U15" s="55">
        <f t="shared" si="10"/>
        <v>0</v>
      </c>
      <c r="V15" s="56">
        <f t="shared" si="11"/>
        <v>0</v>
      </c>
      <c r="W15" s="57">
        <f t="shared" si="12"/>
        <v>0</v>
      </c>
      <c r="X15" s="58">
        <f t="shared" si="13"/>
        <v>4</v>
      </c>
      <c r="Y15" s="64"/>
      <c r="Z15" s="65"/>
      <c r="AA15" s="65"/>
      <c r="AB15" s="65"/>
      <c r="AC15" s="65"/>
      <c r="AD15" s="59">
        <f t="shared" si="14"/>
        <v>0</v>
      </c>
      <c r="AE15" s="60">
        <f t="shared" si="15"/>
        <v>0</v>
      </c>
      <c r="AF15" s="60">
        <f t="shared" si="16"/>
        <v>0</v>
      </c>
      <c r="AG15" s="60">
        <f t="shared" si="17"/>
        <v>0</v>
      </c>
      <c r="AH15" s="60">
        <f t="shared" si="18"/>
        <v>0</v>
      </c>
      <c r="AI15" s="61">
        <f t="shared" si="19"/>
        <v>0</v>
      </c>
      <c r="AJ15" s="62">
        <f t="shared" si="20"/>
        <v>0</v>
      </c>
      <c r="AK15" s="63">
        <f t="shared" si="21"/>
        <v>4</v>
      </c>
      <c r="AL15" s="64"/>
      <c r="AM15" s="65"/>
      <c r="AN15" s="65"/>
      <c r="AO15" s="65"/>
      <c r="AP15" s="65"/>
      <c r="AQ15" s="66">
        <f t="shared" si="22"/>
        <v>0</v>
      </c>
      <c r="AR15" s="67">
        <f t="shared" si="23"/>
        <v>0</v>
      </c>
      <c r="AS15" s="67">
        <f t="shared" si="24"/>
        <v>0</v>
      </c>
      <c r="AT15" s="67">
        <f t="shared" si="25"/>
        <v>0</v>
      </c>
      <c r="AU15" s="67">
        <f t="shared" si="26"/>
        <v>0</v>
      </c>
      <c r="AV15" s="68">
        <f t="shared" si="27"/>
        <v>0</v>
      </c>
      <c r="AW15" s="69">
        <f t="shared" si="28"/>
        <v>0</v>
      </c>
      <c r="AX15" s="70">
        <f t="shared" si="29"/>
        <v>4</v>
      </c>
      <c r="AY15" s="71">
        <v>0</v>
      </c>
      <c r="AZ15" s="259">
        <f t="shared" si="30"/>
        <v>0</v>
      </c>
      <c r="BA15" s="72">
        <f t="shared" si="31"/>
        <v>0</v>
      </c>
      <c r="BB15" s="74">
        <f t="shared" si="32"/>
        <v>0</v>
      </c>
      <c r="BC15" s="74">
        <f t="shared" si="33"/>
        <v>0</v>
      </c>
      <c r="BD15" s="74">
        <f t="shared" si="34"/>
        <v>0</v>
      </c>
      <c r="BE15" s="74">
        <f t="shared" si="35"/>
        <v>0</v>
      </c>
      <c r="BF15" s="74">
        <f t="shared" si="36"/>
        <v>0</v>
      </c>
      <c r="BG15" s="75">
        <f>IF(ISNA(VLOOKUP(BH15,UitslagFig!$C$5:$K$251,1,FALSE)),"",VLOOKUP(BH15,UitslagFig!$C$5:$K$251,2,FALSE))</f>
        <v>0</v>
      </c>
      <c r="BH15" s="261"/>
      <c r="BI15" s="47"/>
      <c r="BJ15" s="75">
        <f>IF(ISNA(VLOOKUP(BK15,UitslagFig!$C$5:$K$251,1,FALSE)),"",VLOOKUP(BK15,UitslagFig!$C$5:$K$251,2,FALSE))</f>
        <v>0</v>
      </c>
      <c r="BK15" s="261"/>
      <c r="BL15" s="47"/>
      <c r="BM15" s="75">
        <f>IF(ISNA(VLOOKUP(BN15,UitslagFig!$C$5:$K$251,1,FALSE)),"",VLOOKUP(BN15,UitslagFig!$C$5:$K$251,2,FALSE))</f>
        <v>0</v>
      </c>
      <c r="BN15" s="261"/>
      <c r="BO15" s="47"/>
      <c r="BP15" s="75">
        <f>IF(ISNA(VLOOKUP(BQ15,UitslagFig!$C$5:$K$251,1,FALSE)),"",VLOOKUP(BQ15,UitslagFig!$C$5:$K$251,2,FALSE))</f>
        <v>0</v>
      </c>
      <c r="BQ15" s="261"/>
      <c r="BR15" s="47"/>
      <c r="BS15" s="75">
        <f>IF(ISNA(VLOOKUP(BT15,UitslagFig!$C$5:$K$251,1,FALSE)),"",VLOOKUP(BT15,UitslagFig!$C$5:$K$251,2,FALSE))</f>
        <v>0</v>
      </c>
      <c r="BT15" s="261"/>
      <c r="BU15" s="47"/>
      <c r="BV15" s="75">
        <f>IF(ISNA(VLOOKUP(BW15,UitslagFig!$C$5:$K$251,1,FALSE)),"",VLOOKUP(BW15,UitslagFig!$C$5:$K$251,2,FALSE))</f>
        <v>0</v>
      </c>
      <c r="BW15" s="261"/>
      <c r="BX15" s="47"/>
      <c r="BY15" s="75">
        <f>IF(ISNA(VLOOKUP(BZ15,UitslagFig!$C$5:$K$251,1,FALSE)),"",VLOOKUP(BZ15,UitslagFig!$C$5:$K$251,2,FALSE))</f>
        <v>0</v>
      </c>
      <c r="BZ15" s="261"/>
      <c r="CA15" s="47"/>
      <c r="CB15" s="75">
        <f>IF(ISNA(VLOOKUP(CC15,UitslagFig!$C$5:$K$251,1,FALSE)),"",VLOOKUP(CC15,UitslagFig!$C$5:$K$251,2,FALSE))</f>
        <v>0</v>
      </c>
      <c r="CC15" s="261"/>
      <c r="CD15" s="47"/>
      <c r="CE15" s="75">
        <f>IF(ISNA(VLOOKUP(CF15,UitslagFig!$C$5:$K$251,1,FALSE)),"",VLOOKUP(CF15,UitslagFig!$C$5:$K$251,2,FALSE))</f>
        <v>0</v>
      </c>
      <c r="CF15" s="261"/>
      <c r="CG15" s="47"/>
      <c r="CH15" s="75">
        <f>IF(ISNA(VLOOKUP(CI15,UitslagFig!$C$5:$K$251,1,FALSE)),"",VLOOKUP(CI15,UitslagFig!$C$5:$K$251,2,FALSE))</f>
        <v>0</v>
      </c>
      <c r="CI15" s="261"/>
      <c r="CJ15" s="47"/>
      <c r="CK15" s="263"/>
      <c r="CL15" s="263"/>
      <c r="CM15" s="75">
        <f>IF(ISNA(VLOOKUP(BH15,UitslagFig!$C$5:$K$251,1,FALSE)),"",VLOOKUP(BH15,UitslagFig!$C$5:$K$251,9,FALSE))</f>
        <v>0</v>
      </c>
      <c r="CN15" s="75">
        <f>IF(ISNA(VLOOKUP(BK15,UitslagFig!$C$5:$K$251,1,FALSE)),"",VLOOKUP(BK15,UitslagFig!$C$5:$K$251,9,FALSE))</f>
        <v>0</v>
      </c>
      <c r="CO15" s="75">
        <f>IF(ISNA(VLOOKUP(BN15,UitslagFig!$C$5:$K$251,1,FALSE)),"",VLOOKUP(BN15,UitslagFig!$C$5:$K$251,9,FALSE))</f>
        <v>0</v>
      </c>
      <c r="CP15" s="75">
        <f>IF(ISNA(VLOOKUP(BQ15,UitslagFig!$C$5:$K$251,1,FALSE)),"",VLOOKUP(BQ15,UitslagFig!$C$5:$K$251,9,FALSE))</f>
        <v>0</v>
      </c>
      <c r="CQ15" s="75">
        <f>IF(ISNA(VLOOKUP(BT15,UitslagFig!$C$5:$K$251,1,FALSE)),"",VLOOKUP(BT15,UitslagFig!$C$5:$K$251,9,FALSE))</f>
        <v>0</v>
      </c>
      <c r="CR15" s="75">
        <f>IF(ISNA(VLOOKUP(BW15,UitslagFig!$C$5:$K$251,1,FALSE)),"",VLOOKUP(BW15,UitslagFig!$C$5:$K$251,9,FALSE))</f>
        <v>0</v>
      </c>
      <c r="CS15" s="75">
        <f>IF(ISNA(VLOOKUP(BZ15,UitslagFig!$C$5:$K$251,1,FALSE)),"",VLOOKUP(BZ15,UitslagFig!$C$5:$K$251,9,FALSE))</f>
        <v>0</v>
      </c>
      <c r="CT15" s="75">
        <f>IF(ISNA(VLOOKUP(CC15,UitslagFig!$C$5:$K$251,1,FALSE)),"",VLOOKUP(CC15,UitslagFig!$C$5:$K$251,9,FALSE))</f>
        <v>0</v>
      </c>
      <c r="CU15" s="75">
        <f>IF(ISNA(VLOOKUP(CF15,UitslagFig!$C$5:$K$251,1,FALSE)),"",VLOOKUP(CF15,UitslagFig!$C$5:$K$251,9,FALSE))</f>
        <v>0</v>
      </c>
      <c r="CV15" s="75">
        <f>IF(ISNA(VLOOKUP(CI15,UitslagFig!$C$5:$K$251,1,FALSE)),"",VLOOKUP(CI15,UitslagFig!$C$5:$K$251,9,FALSE))</f>
        <v>0</v>
      </c>
      <c r="CW15" s="76">
        <f t="shared" si="37"/>
      </c>
      <c r="CX15" s="76">
        <f t="shared" si="38"/>
      </c>
      <c r="CY15" s="76">
        <f t="shared" si="39"/>
      </c>
      <c r="CZ15" s="76">
        <f t="shared" si="40"/>
      </c>
      <c r="DA15" s="76">
        <f t="shared" si="41"/>
      </c>
      <c r="DB15" s="76">
        <f t="shared" si="42"/>
      </c>
      <c r="DC15" s="76">
        <f t="shared" si="43"/>
      </c>
      <c r="DD15" s="76">
        <f t="shared" si="44"/>
      </c>
      <c r="DE15" s="76">
        <f t="shared" si="45"/>
      </c>
      <c r="DF15" s="76">
        <f t="shared" si="46"/>
      </c>
      <c r="DG15" s="76">
        <f t="shared" si="47"/>
        <v>0</v>
      </c>
      <c r="DH15" s="76">
        <f t="shared" si="48"/>
        <v>0</v>
      </c>
      <c r="DI15" s="77">
        <f t="shared" si="49"/>
      </c>
      <c r="DJ15" s="77">
        <f t="shared" si="50"/>
        <v>0</v>
      </c>
      <c r="DK15" s="78">
        <f>IF(DJ15&gt;0,IF(COUNT(CM15:CV15)&gt;=8,SUM(LARGE(CM15:CV15,{1;2;3;4;5;6;9;8}))/8,IF(COUNT(CM15:CV15)&gt;COUNT(CW15:DF15),(SUM(CM15:CV15)-MIN(CM15:CV15))/COUNT(CW15:DF15),AVERAGE(CW15:DF15))),0)</f>
        <v>0</v>
      </c>
      <c r="DL15" s="79">
        <f t="shared" si="51"/>
      </c>
      <c r="DM15" s="262"/>
    </row>
    <row r="16" spans="1:117" ht="12.75">
      <c r="A16" s="8">
        <v>12</v>
      </c>
      <c r="B16" s="24">
        <f t="shared" si="52"/>
        <v>4</v>
      </c>
      <c r="C16" s="44">
        <f t="shared" si="0"/>
        <v>0</v>
      </c>
      <c r="D16" s="45">
        <f>IF(ISNA(VLOOKUP($BH16,UitslagFig!$C$5:$K$251,1,FALSE)),"",VLOOKUP($BH16,UitslagFig!$C$5:$K$251,3,FALSE))</f>
        <v>0</v>
      </c>
      <c r="E16" s="48">
        <f>IF(ISNA(VLOOKUP($BH16,UitslagFig!$C$5:$K$251,1,FALSE)),"",VLOOKUP($BH16,UitslagFig!$C$5:$K$251,5,FALSE))</f>
        <v>0</v>
      </c>
      <c r="F16" s="48"/>
      <c r="G16" s="250">
        <f t="shared" si="1"/>
        <v>0</v>
      </c>
      <c r="H16" s="50">
        <f t="shared" si="2"/>
        <v>0</v>
      </c>
      <c r="I16" s="24">
        <f t="shared" si="3"/>
      </c>
      <c r="J16" s="51">
        <f t="shared" si="4"/>
        <v>0</v>
      </c>
      <c r="K16" s="24">
        <f t="shared" si="5"/>
      </c>
      <c r="L16" s="64"/>
      <c r="M16" s="65"/>
      <c r="N16" s="65"/>
      <c r="O16" s="65"/>
      <c r="P16" s="65"/>
      <c r="Q16" s="54">
        <f t="shared" si="6"/>
        <v>0</v>
      </c>
      <c r="R16" s="55">
        <f t="shared" si="7"/>
        <v>0</v>
      </c>
      <c r="S16" s="55">
        <f t="shared" si="8"/>
        <v>0</v>
      </c>
      <c r="T16" s="55">
        <f t="shared" si="9"/>
        <v>0</v>
      </c>
      <c r="U16" s="55">
        <f t="shared" si="10"/>
        <v>0</v>
      </c>
      <c r="V16" s="56">
        <f t="shared" si="11"/>
        <v>0</v>
      </c>
      <c r="W16" s="57">
        <f t="shared" si="12"/>
        <v>0</v>
      </c>
      <c r="X16" s="58">
        <f t="shared" si="13"/>
        <v>4</v>
      </c>
      <c r="Y16" s="64"/>
      <c r="Z16" s="65"/>
      <c r="AA16" s="65"/>
      <c r="AB16" s="65"/>
      <c r="AC16" s="65"/>
      <c r="AD16" s="59">
        <f t="shared" si="14"/>
        <v>0</v>
      </c>
      <c r="AE16" s="60">
        <f t="shared" si="15"/>
        <v>0</v>
      </c>
      <c r="AF16" s="60">
        <f t="shared" si="16"/>
        <v>0</v>
      </c>
      <c r="AG16" s="60">
        <f t="shared" si="17"/>
        <v>0</v>
      </c>
      <c r="AH16" s="60">
        <f t="shared" si="18"/>
        <v>0</v>
      </c>
      <c r="AI16" s="61">
        <f t="shared" si="19"/>
        <v>0</v>
      </c>
      <c r="AJ16" s="62">
        <f t="shared" si="20"/>
        <v>0</v>
      </c>
      <c r="AK16" s="63">
        <f t="shared" si="21"/>
        <v>4</v>
      </c>
      <c r="AL16" s="64"/>
      <c r="AM16" s="65"/>
      <c r="AN16" s="65"/>
      <c r="AO16" s="65"/>
      <c r="AP16" s="65"/>
      <c r="AQ16" s="66">
        <f t="shared" si="22"/>
        <v>0</v>
      </c>
      <c r="AR16" s="67">
        <f t="shared" si="23"/>
        <v>0</v>
      </c>
      <c r="AS16" s="67">
        <f t="shared" si="24"/>
        <v>0</v>
      </c>
      <c r="AT16" s="67">
        <f t="shared" si="25"/>
        <v>0</v>
      </c>
      <c r="AU16" s="67">
        <f t="shared" si="26"/>
        <v>0</v>
      </c>
      <c r="AV16" s="68">
        <f t="shared" si="27"/>
        <v>0</v>
      </c>
      <c r="AW16" s="69">
        <f t="shared" si="28"/>
        <v>0</v>
      </c>
      <c r="AX16" s="70">
        <f t="shared" si="29"/>
        <v>4</v>
      </c>
      <c r="AY16" s="71">
        <v>0</v>
      </c>
      <c r="AZ16" s="259">
        <f t="shared" si="30"/>
        <v>0</v>
      </c>
      <c r="BA16" s="72">
        <f t="shared" si="31"/>
        <v>0</v>
      </c>
      <c r="BB16" s="74">
        <f t="shared" si="32"/>
        <v>0</v>
      </c>
      <c r="BC16" s="74">
        <f t="shared" si="33"/>
        <v>0</v>
      </c>
      <c r="BD16" s="74">
        <f t="shared" si="34"/>
        <v>0</v>
      </c>
      <c r="BE16" s="74">
        <f t="shared" si="35"/>
        <v>0</v>
      </c>
      <c r="BF16" s="74">
        <f t="shared" si="36"/>
        <v>0</v>
      </c>
      <c r="BG16" s="75">
        <f>IF(ISNA(VLOOKUP(BH16,UitslagFig!$C$5:$K$251,1,FALSE)),"",VLOOKUP(BH16,UitslagFig!$C$5:$K$251,2,FALSE))</f>
        <v>0</v>
      </c>
      <c r="BH16" s="261"/>
      <c r="BI16" s="47"/>
      <c r="BJ16" s="75">
        <f>IF(ISNA(VLOOKUP(BK16,UitslagFig!$C$5:$K$251,1,FALSE)),"",VLOOKUP(BK16,UitslagFig!$C$5:$K$251,2,FALSE))</f>
        <v>0</v>
      </c>
      <c r="BK16" s="261"/>
      <c r="BL16" s="47"/>
      <c r="BM16" s="75">
        <f>IF(ISNA(VLOOKUP(BN16,UitslagFig!$C$5:$K$251,1,FALSE)),"",VLOOKUP(BN16,UitslagFig!$C$5:$K$251,2,FALSE))</f>
        <v>0</v>
      </c>
      <c r="BN16" s="261"/>
      <c r="BO16" s="47"/>
      <c r="BP16" s="75">
        <f>IF(ISNA(VLOOKUP(BQ16,UitslagFig!$C$5:$K$251,1,FALSE)),"",VLOOKUP(BQ16,UitslagFig!$C$5:$K$251,2,FALSE))</f>
        <v>0</v>
      </c>
      <c r="BQ16" s="261"/>
      <c r="BR16" s="47"/>
      <c r="BS16" s="75">
        <f>IF(ISNA(VLOOKUP(BT16,UitslagFig!$C$5:$K$251,1,FALSE)),"",VLOOKUP(BT16,UitslagFig!$C$5:$K$251,2,FALSE))</f>
        <v>0</v>
      </c>
      <c r="BT16" s="261"/>
      <c r="BU16" s="47"/>
      <c r="BV16" s="75">
        <f>IF(ISNA(VLOOKUP(BW16,UitslagFig!$C$5:$K$251,1,FALSE)),"",VLOOKUP(BW16,UitslagFig!$C$5:$K$251,2,FALSE))</f>
        <v>0</v>
      </c>
      <c r="BW16" s="261"/>
      <c r="BX16" s="47"/>
      <c r="BY16" s="75">
        <f>IF(ISNA(VLOOKUP(BZ16,UitslagFig!$C$5:$K$251,1,FALSE)),"",VLOOKUP(BZ16,UitslagFig!$C$5:$K$251,2,FALSE))</f>
        <v>0</v>
      </c>
      <c r="BZ16" s="261"/>
      <c r="CA16" s="47"/>
      <c r="CB16" s="75">
        <f>IF(ISNA(VLOOKUP(CC16,UitslagFig!$C$5:$K$251,1,FALSE)),"",VLOOKUP(CC16,UitslagFig!$C$5:$K$251,2,FALSE))</f>
        <v>0</v>
      </c>
      <c r="CC16" s="261"/>
      <c r="CD16" s="47"/>
      <c r="CE16" s="75">
        <f>IF(ISNA(VLOOKUP(CF16,UitslagFig!$C$5:$K$251,1,FALSE)),"",VLOOKUP(CF16,UitslagFig!$C$5:$K$251,2,FALSE))</f>
        <v>0</v>
      </c>
      <c r="CF16" s="261"/>
      <c r="CG16" s="47"/>
      <c r="CH16" s="75">
        <f>IF(ISNA(VLOOKUP(CI16,UitslagFig!$C$5:$K$251,1,FALSE)),"",VLOOKUP(CI16,UitslagFig!$C$5:$K$251,2,FALSE))</f>
        <v>0</v>
      </c>
      <c r="CI16" s="261"/>
      <c r="CJ16" s="47"/>
      <c r="CK16" s="263"/>
      <c r="CL16" s="263"/>
      <c r="CM16" s="75">
        <f>IF(ISNA(VLOOKUP(BH16,UitslagFig!$C$5:$K$251,1,FALSE)),"",VLOOKUP(BH16,UitslagFig!$C$5:$K$251,9,FALSE))</f>
        <v>0</v>
      </c>
      <c r="CN16" s="75">
        <f>IF(ISNA(VLOOKUP(BK16,UitslagFig!$C$5:$K$251,1,FALSE)),"",VLOOKUP(BK16,UitslagFig!$C$5:$K$251,9,FALSE))</f>
        <v>0</v>
      </c>
      <c r="CO16" s="75">
        <f>IF(ISNA(VLOOKUP(BN16,UitslagFig!$C$5:$K$251,1,FALSE)),"",VLOOKUP(BN16,UitslagFig!$C$5:$K$251,9,FALSE))</f>
        <v>0</v>
      </c>
      <c r="CP16" s="75">
        <f>IF(ISNA(VLOOKUP(BQ16,UitslagFig!$C$5:$K$251,1,FALSE)),"",VLOOKUP(BQ16,UitslagFig!$C$5:$K$251,9,FALSE))</f>
        <v>0</v>
      </c>
      <c r="CQ16" s="75">
        <f>IF(ISNA(VLOOKUP(BT16,UitslagFig!$C$5:$K$251,1,FALSE)),"",VLOOKUP(BT16,UitslagFig!$C$5:$K$251,9,FALSE))</f>
        <v>0</v>
      </c>
      <c r="CR16" s="75">
        <f>IF(ISNA(VLOOKUP(BW16,UitslagFig!$C$5:$K$251,1,FALSE)),"",VLOOKUP(BW16,UitslagFig!$C$5:$K$251,9,FALSE))</f>
        <v>0</v>
      </c>
      <c r="CS16" s="75">
        <f>IF(ISNA(VLOOKUP(BZ16,UitslagFig!$C$5:$K$251,1,FALSE)),"",VLOOKUP(BZ16,UitslagFig!$C$5:$K$251,9,FALSE))</f>
        <v>0</v>
      </c>
      <c r="CT16" s="75">
        <f>IF(ISNA(VLOOKUP(CC16,UitslagFig!$C$5:$K$251,1,FALSE)),"",VLOOKUP(CC16,UitslagFig!$C$5:$K$251,9,FALSE))</f>
        <v>0</v>
      </c>
      <c r="CU16" s="75">
        <f>IF(ISNA(VLOOKUP(CF16,UitslagFig!$C$5:$K$251,1,FALSE)),"",VLOOKUP(CF16,UitslagFig!$C$5:$K$251,9,FALSE))</f>
        <v>0</v>
      </c>
      <c r="CV16" s="75">
        <f>IF(ISNA(VLOOKUP(CI16,UitslagFig!$C$5:$K$251,1,FALSE)),"",VLOOKUP(CI16,UitslagFig!$C$5:$K$251,9,FALSE))</f>
        <v>0</v>
      </c>
      <c r="CW16" s="76">
        <f t="shared" si="37"/>
      </c>
      <c r="CX16" s="76">
        <f t="shared" si="38"/>
      </c>
      <c r="CY16" s="76">
        <f t="shared" si="39"/>
      </c>
      <c r="CZ16" s="76">
        <f t="shared" si="40"/>
      </c>
      <c r="DA16" s="76">
        <f t="shared" si="41"/>
      </c>
      <c r="DB16" s="76">
        <f t="shared" si="42"/>
      </c>
      <c r="DC16" s="76">
        <f t="shared" si="43"/>
      </c>
      <c r="DD16" s="76">
        <f t="shared" si="44"/>
      </c>
      <c r="DE16" s="76">
        <f t="shared" si="45"/>
      </c>
      <c r="DF16" s="76">
        <f t="shared" si="46"/>
      </c>
      <c r="DG16" s="76">
        <f t="shared" si="47"/>
        <v>0</v>
      </c>
      <c r="DH16" s="76">
        <f t="shared" si="48"/>
        <v>0</v>
      </c>
      <c r="DI16" s="77">
        <f t="shared" si="49"/>
      </c>
      <c r="DJ16" s="77">
        <f t="shared" si="50"/>
        <v>0</v>
      </c>
      <c r="DK16" s="78">
        <f>IF(DJ16&gt;0,IF(COUNT(CM16:CV16)&gt;=8,SUM(LARGE(CM16:CV16,{1;2;3;4;5;6;9;8}))/8,IF(COUNT(CM16:CV16)&gt;COUNT(CW16:DF16),(SUM(CM16:CV16)-MIN(CM16:CV16))/COUNT(CW16:DF16),AVERAGE(CW16:DF16))),0)</f>
        <v>0</v>
      </c>
      <c r="DL16" s="79">
        <f t="shared" si="51"/>
      </c>
      <c r="DM16" s="262"/>
    </row>
    <row r="17" spans="1:117" ht="12.75">
      <c r="A17" s="8">
        <v>13</v>
      </c>
      <c r="B17" s="24">
        <f t="shared" si="52"/>
        <v>4</v>
      </c>
      <c r="C17" s="44">
        <f t="shared" si="0"/>
        <v>0</v>
      </c>
      <c r="D17" s="45">
        <f>IF(ISNA(VLOOKUP($BH17,UitslagFig!$C$5:$K$251,1,FALSE)),"",VLOOKUP($BH17,UitslagFig!$C$5:$K$251,3,FALSE))</f>
        <v>0</v>
      </c>
      <c r="E17" s="48">
        <f>IF(ISNA(VLOOKUP($BH17,UitslagFig!$C$5:$K$251,1,FALSE)),"",VLOOKUP($BH17,UitslagFig!$C$5:$K$251,5,FALSE))</f>
        <v>0</v>
      </c>
      <c r="F17" s="48"/>
      <c r="G17" s="250">
        <f t="shared" si="1"/>
        <v>0</v>
      </c>
      <c r="H17" s="50">
        <f t="shared" si="2"/>
        <v>0</v>
      </c>
      <c r="I17" s="24">
        <f t="shared" si="3"/>
      </c>
      <c r="J17" s="51">
        <f t="shared" si="4"/>
        <v>0</v>
      </c>
      <c r="K17" s="24">
        <f t="shared" si="5"/>
      </c>
      <c r="L17" s="64"/>
      <c r="M17" s="65"/>
      <c r="N17" s="65"/>
      <c r="O17" s="65"/>
      <c r="P17" s="65"/>
      <c r="Q17" s="54">
        <f t="shared" si="6"/>
        <v>0</v>
      </c>
      <c r="R17" s="55">
        <f t="shared" si="7"/>
        <v>0</v>
      </c>
      <c r="S17" s="55">
        <f t="shared" si="8"/>
        <v>0</v>
      </c>
      <c r="T17" s="55">
        <f t="shared" si="9"/>
        <v>0</v>
      </c>
      <c r="U17" s="55">
        <f t="shared" si="10"/>
        <v>0</v>
      </c>
      <c r="V17" s="56">
        <f t="shared" si="11"/>
        <v>0</v>
      </c>
      <c r="W17" s="57">
        <f t="shared" si="12"/>
        <v>0</v>
      </c>
      <c r="X17" s="58">
        <f t="shared" si="13"/>
        <v>4</v>
      </c>
      <c r="Y17" s="64"/>
      <c r="Z17" s="65"/>
      <c r="AA17" s="65"/>
      <c r="AB17" s="65"/>
      <c r="AC17" s="65"/>
      <c r="AD17" s="59">
        <f t="shared" si="14"/>
        <v>0</v>
      </c>
      <c r="AE17" s="60">
        <f t="shared" si="15"/>
        <v>0</v>
      </c>
      <c r="AF17" s="60">
        <f t="shared" si="16"/>
        <v>0</v>
      </c>
      <c r="AG17" s="60">
        <f t="shared" si="17"/>
        <v>0</v>
      </c>
      <c r="AH17" s="60">
        <f t="shared" si="18"/>
        <v>0</v>
      </c>
      <c r="AI17" s="61">
        <f t="shared" si="19"/>
        <v>0</v>
      </c>
      <c r="AJ17" s="62">
        <f t="shared" si="20"/>
        <v>0</v>
      </c>
      <c r="AK17" s="63">
        <f t="shared" si="21"/>
        <v>4</v>
      </c>
      <c r="AL17" s="64"/>
      <c r="AM17" s="65"/>
      <c r="AN17" s="65"/>
      <c r="AO17" s="65"/>
      <c r="AP17" s="65"/>
      <c r="AQ17" s="66">
        <f t="shared" si="22"/>
        <v>0</v>
      </c>
      <c r="AR17" s="67">
        <f t="shared" si="23"/>
        <v>0</v>
      </c>
      <c r="AS17" s="67">
        <f t="shared" si="24"/>
        <v>0</v>
      </c>
      <c r="AT17" s="67">
        <f t="shared" si="25"/>
        <v>0</v>
      </c>
      <c r="AU17" s="67">
        <f t="shared" si="26"/>
        <v>0</v>
      </c>
      <c r="AV17" s="68">
        <f t="shared" si="27"/>
        <v>0</v>
      </c>
      <c r="AW17" s="69">
        <f t="shared" si="28"/>
        <v>0</v>
      </c>
      <c r="AX17" s="70">
        <f t="shared" si="29"/>
        <v>4</v>
      </c>
      <c r="AY17" s="71">
        <v>0</v>
      </c>
      <c r="AZ17" s="259">
        <f t="shared" si="30"/>
        <v>0</v>
      </c>
      <c r="BA17" s="72">
        <f t="shared" si="31"/>
        <v>0</v>
      </c>
      <c r="BB17" s="74">
        <f t="shared" si="32"/>
        <v>0</v>
      </c>
      <c r="BC17" s="74">
        <f t="shared" si="33"/>
        <v>0</v>
      </c>
      <c r="BD17" s="74">
        <f t="shared" si="34"/>
        <v>0</v>
      </c>
      <c r="BE17" s="74">
        <f t="shared" si="35"/>
        <v>0</v>
      </c>
      <c r="BF17" s="74">
        <f t="shared" si="36"/>
        <v>0</v>
      </c>
      <c r="BG17" s="75">
        <f>IF(ISNA(VLOOKUP(BH17,UitslagFig!$C$5:$K$251,1,FALSE)),"",VLOOKUP(BH17,UitslagFig!$C$5:$K$251,2,FALSE))</f>
        <v>0</v>
      </c>
      <c r="BH17" s="261"/>
      <c r="BI17" s="47"/>
      <c r="BJ17" s="75">
        <f>IF(ISNA(VLOOKUP(BK17,UitslagFig!$C$5:$K$251,1,FALSE)),"",VLOOKUP(BK17,UitslagFig!$C$5:$K$251,2,FALSE))</f>
        <v>0</v>
      </c>
      <c r="BK17" s="261"/>
      <c r="BL17" s="47"/>
      <c r="BM17" s="75">
        <f>IF(ISNA(VLOOKUP(BN17,UitslagFig!$C$5:$K$251,1,FALSE)),"",VLOOKUP(BN17,UitslagFig!$C$5:$K$251,2,FALSE))</f>
        <v>0</v>
      </c>
      <c r="BN17" s="261"/>
      <c r="BO17" s="47"/>
      <c r="BP17" s="75">
        <f>IF(ISNA(VLOOKUP(BQ17,UitslagFig!$C$5:$K$251,1,FALSE)),"",VLOOKUP(BQ17,UitslagFig!$C$5:$K$251,2,FALSE))</f>
        <v>0</v>
      </c>
      <c r="BQ17" s="261"/>
      <c r="BR17" s="47"/>
      <c r="BS17" s="75">
        <f>IF(ISNA(VLOOKUP(BT17,UitslagFig!$C$5:$K$251,1,FALSE)),"",VLOOKUP(BT17,UitslagFig!$C$5:$K$251,2,FALSE))</f>
        <v>0</v>
      </c>
      <c r="BT17" s="261"/>
      <c r="BU17" s="47"/>
      <c r="BV17" s="75">
        <f>IF(ISNA(VLOOKUP(BW17,UitslagFig!$C$5:$K$251,1,FALSE)),"",VLOOKUP(BW17,UitslagFig!$C$5:$K$251,2,FALSE))</f>
        <v>0</v>
      </c>
      <c r="BW17" s="261"/>
      <c r="BX17" s="47"/>
      <c r="BY17" s="75">
        <f>IF(ISNA(VLOOKUP(BZ17,UitslagFig!$C$5:$K$251,1,FALSE)),"",VLOOKUP(BZ17,UitslagFig!$C$5:$K$251,2,FALSE))</f>
        <v>0</v>
      </c>
      <c r="BZ17" s="261"/>
      <c r="CA17" s="47"/>
      <c r="CB17" s="75">
        <f>IF(ISNA(VLOOKUP(CC17,UitslagFig!$C$5:$K$251,1,FALSE)),"",VLOOKUP(CC17,UitslagFig!$C$5:$K$251,2,FALSE))</f>
        <v>0</v>
      </c>
      <c r="CC17" s="261"/>
      <c r="CD17" s="47"/>
      <c r="CE17" s="75">
        <f>IF(ISNA(VLOOKUP(CF17,UitslagFig!$C$5:$K$251,1,FALSE)),"",VLOOKUP(CF17,UitslagFig!$C$5:$K$251,2,FALSE))</f>
        <v>0</v>
      </c>
      <c r="CF17" s="261"/>
      <c r="CG17" s="47"/>
      <c r="CH17" s="75">
        <f>IF(ISNA(VLOOKUP(CI17,UitslagFig!$C$5:$K$251,1,FALSE)),"",VLOOKUP(CI17,UitslagFig!$C$5:$K$251,2,FALSE))</f>
        <v>0</v>
      </c>
      <c r="CI17" s="261"/>
      <c r="CJ17" s="47"/>
      <c r="CK17" s="263"/>
      <c r="CL17" s="263"/>
      <c r="CM17" s="75">
        <f>IF(ISNA(VLOOKUP(BH17,UitslagFig!$C$5:$K$251,1,FALSE)),"",VLOOKUP(BH17,UitslagFig!$C$5:$K$251,9,FALSE))</f>
        <v>0</v>
      </c>
      <c r="CN17" s="75">
        <f>IF(ISNA(VLOOKUP(BK17,UitslagFig!$C$5:$K$251,1,FALSE)),"",VLOOKUP(BK17,UitslagFig!$C$5:$K$251,9,FALSE))</f>
        <v>0</v>
      </c>
      <c r="CO17" s="75">
        <f>IF(ISNA(VLOOKUP(BN17,UitslagFig!$C$5:$K$251,1,FALSE)),"",VLOOKUP(BN17,UitslagFig!$C$5:$K$251,9,FALSE))</f>
        <v>0</v>
      </c>
      <c r="CP17" s="75">
        <f>IF(ISNA(VLOOKUP(BQ17,UitslagFig!$C$5:$K$251,1,FALSE)),"",VLOOKUP(BQ17,UitslagFig!$C$5:$K$251,9,FALSE))</f>
        <v>0</v>
      </c>
      <c r="CQ17" s="75">
        <f>IF(ISNA(VLOOKUP(BT17,UitslagFig!$C$5:$K$251,1,FALSE)),"",VLOOKUP(BT17,UitslagFig!$C$5:$K$251,9,FALSE))</f>
        <v>0</v>
      </c>
      <c r="CR17" s="75">
        <f>IF(ISNA(VLOOKUP(BW17,UitslagFig!$C$5:$K$251,1,FALSE)),"",VLOOKUP(BW17,UitslagFig!$C$5:$K$251,9,FALSE))</f>
        <v>0</v>
      </c>
      <c r="CS17" s="75">
        <f>IF(ISNA(VLOOKUP(BZ17,UitslagFig!$C$5:$K$251,1,FALSE)),"",VLOOKUP(BZ17,UitslagFig!$C$5:$K$251,9,FALSE))</f>
        <v>0</v>
      </c>
      <c r="CT17" s="75">
        <f>IF(ISNA(VLOOKUP(CC17,UitslagFig!$C$5:$K$251,1,FALSE)),"",VLOOKUP(CC17,UitslagFig!$C$5:$K$251,9,FALSE))</f>
        <v>0</v>
      </c>
      <c r="CU17" s="75">
        <f>IF(ISNA(VLOOKUP(CF17,UitslagFig!$C$5:$K$251,1,FALSE)),"",VLOOKUP(CF17,UitslagFig!$C$5:$K$251,9,FALSE))</f>
        <v>0</v>
      </c>
      <c r="CV17" s="75">
        <f>IF(ISNA(VLOOKUP(CI17,UitslagFig!$C$5:$K$251,1,FALSE)),"",VLOOKUP(CI17,UitslagFig!$C$5:$K$251,9,FALSE))</f>
        <v>0</v>
      </c>
      <c r="CW17" s="76">
        <f t="shared" si="37"/>
      </c>
      <c r="CX17" s="76">
        <f t="shared" si="38"/>
      </c>
      <c r="CY17" s="76">
        <f t="shared" si="39"/>
      </c>
      <c r="CZ17" s="76">
        <f t="shared" si="40"/>
      </c>
      <c r="DA17" s="76">
        <f t="shared" si="41"/>
      </c>
      <c r="DB17" s="76">
        <f t="shared" si="42"/>
      </c>
      <c r="DC17" s="76">
        <f t="shared" si="43"/>
      </c>
      <c r="DD17" s="76">
        <f t="shared" si="44"/>
      </c>
      <c r="DE17" s="76">
        <f t="shared" si="45"/>
      </c>
      <c r="DF17" s="76">
        <f t="shared" si="46"/>
      </c>
      <c r="DG17" s="76">
        <f t="shared" si="47"/>
        <v>0</v>
      </c>
      <c r="DH17" s="76">
        <f t="shared" si="48"/>
        <v>0</v>
      </c>
      <c r="DI17" s="77">
        <f t="shared" si="49"/>
      </c>
      <c r="DJ17" s="77">
        <f t="shared" si="50"/>
        <v>0</v>
      </c>
      <c r="DK17" s="78">
        <f>IF(DJ17&gt;0,IF(COUNT(CM17:CV17)&gt;=8,SUM(LARGE(CM17:CV17,{1;2;3;4;5;6;9;8}))/8,IF(COUNT(CM17:CV17)&gt;COUNT(CW17:DF17),(SUM(CM17:CV17)-MIN(CM17:CV17))/COUNT(CW17:DF17),AVERAGE(CW17:DF17))),0)</f>
        <v>0</v>
      </c>
      <c r="DL17" s="79">
        <f t="shared" si="51"/>
      </c>
      <c r="DM17" s="262"/>
    </row>
    <row r="18" spans="1:117" ht="12.75">
      <c r="A18" s="8">
        <v>14</v>
      </c>
      <c r="B18" s="24">
        <f t="shared" si="52"/>
        <v>4</v>
      </c>
      <c r="C18" s="44">
        <f t="shared" si="0"/>
        <v>0</v>
      </c>
      <c r="D18" s="45">
        <f>IF(ISNA(VLOOKUP($BH18,UitslagFig!$C$5:$K$251,1,FALSE)),"",VLOOKUP($BH18,UitslagFig!$C$5:$K$251,3,FALSE))</f>
        <v>0</v>
      </c>
      <c r="E18" s="48">
        <f>IF(ISNA(VLOOKUP($BH18,UitslagFig!$C$5:$K$251,1,FALSE)),"",VLOOKUP($BH18,UitslagFig!$C$5:$K$251,5,FALSE))</f>
        <v>0</v>
      </c>
      <c r="F18" s="48"/>
      <c r="G18" s="250">
        <f t="shared" si="1"/>
        <v>0</v>
      </c>
      <c r="H18" s="50">
        <f t="shared" si="2"/>
        <v>0</v>
      </c>
      <c r="I18" s="24">
        <f t="shared" si="3"/>
      </c>
      <c r="J18" s="51">
        <f t="shared" si="4"/>
        <v>0</v>
      </c>
      <c r="K18" s="24">
        <f t="shared" si="5"/>
      </c>
      <c r="L18" s="64"/>
      <c r="M18" s="65"/>
      <c r="N18" s="65"/>
      <c r="O18" s="65"/>
      <c r="P18" s="65"/>
      <c r="Q18" s="54">
        <f t="shared" si="6"/>
        <v>0</v>
      </c>
      <c r="R18" s="55">
        <f t="shared" si="7"/>
        <v>0</v>
      </c>
      <c r="S18" s="55">
        <f t="shared" si="8"/>
        <v>0</v>
      </c>
      <c r="T18" s="55">
        <f t="shared" si="9"/>
        <v>0</v>
      </c>
      <c r="U18" s="55">
        <f t="shared" si="10"/>
        <v>0</v>
      </c>
      <c r="V18" s="56">
        <f t="shared" si="11"/>
        <v>0</v>
      </c>
      <c r="W18" s="57">
        <f t="shared" si="12"/>
        <v>0</v>
      </c>
      <c r="X18" s="58">
        <f t="shared" si="13"/>
        <v>4</v>
      </c>
      <c r="Y18" s="64"/>
      <c r="Z18" s="65"/>
      <c r="AA18" s="65"/>
      <c r="AB18" s="65"/>
      <c r="AC18" s="65"/>
      <c r="AD18" s="59">
        <f t="shared" si="14"/>
        <v>0</v>
      </c>
      <c r="AE18" s="60">
        <f t="shared" si="15"/>
        <v>0</v>
      </c>
      <c r="AF18" s="60">
        <f t="shared" si="16"/>
        <v>0</v>
      </c>
      <c r="AG18" s="60">
        <f t="shared" si="17"/>
        <v>0</v>
      </c>
      <c r="AH18" s="60">
        <f t="shared" si="18"/>
        <v>0</v>
      </c>
      <c r="AI18" s="61">
        <f t="shared" si="19"/>
        <v>0</v>
      </c>
      <c r="AJ18" s="62">
        <f t="shared" si="20"/>
        <v>0</v>
      </c>
      <c r="AK18" s="63">
        <f t="shared" si="21"/>
        <v>4</v>
      </c>
      <c r="AL18" s="64"/>
      <c r="AM18" s="65"/>
      <c r="AN18" s="65"/>
      <c r="AO18" s="65"/>
      <c r="AP18" s="65"/>
      <c r="AQ18" s="66">
        <f t="shared" si="22"/>
        <v>0</v>
      </c>
      <c r="AR18" s="67">
        <f t="shared" si="23"/>
        <v>0</v>
      </c>
      <c r="AS18" s="67">
        <f t="shared" si="24"/>
        <v>0</v>
      </c>
      <c r="AT18" s="67">
        <f t="shared" si="25"/>
        <v>0</v>
      </c>
      <c r="AU18" s="67">
        <f t="shared" si="26"/>
        <v>0</v>
      </c>
      <c r="AV18" s="68">
        <f t="shared" si="27"/>
        <v>0</v>
      </c>
      <c r="AW18" s="69">
        <f t="shared" si="28"/>
        <v>0</v>
      </c>
      <c r="AX18" s="70">
        <f t="shared" si="29"/>
        <v>4</v>
      </c>
      <c r="AY18" s="71">
        <v>0</v>
      </c>
      <c r="AZ18" s="259">
        <f t="shared" si="30"/>
        <v>0</v>
      </c>
      <c r="BA18" s="72">
        <f t="shared" si="31"/>
        <v>0</v>
      </c>
      <c r="BB18" s="74">
        <f t="shared" si="32"/>
        <v>0</v>
      </c>
      <c r="BC18" s="74">
        <f t="shared" si="33"/>
        <v>0</v>
      </c>
      <c r="BD18" s="74">
        <f t="shared" si="34"/>
        <v>0</v>
      </c>
      <c r="BE18" s="74">
        <f t="shared" si="35"/>
        <v>0</v>
      </c>
      <c r="BF18" s="74">
        <f t="shared" si="36"/>
        <v>0</v>
      </c>
      <c r="BG18" s="75">
        <f>IF(ISNA(VLOOKUP(BH18,UitslagFig!$C$5:$K$251,1,FALSE)),"",VLOOKUP(BH18,UitslagFig!$C$5:$K$251,2,FALSE))</f>
        <v>0</v>
      </c>
      <c r="BH18" s="261"/>
      <c r="BI18" s="47"/>
      <c r="BJ18" s="75">
        <f>IF(ISNA(VLOOKUP(BK18,UitslagFig!$C$5:$K$251,1,FALSE)),"",VLOOKUP(BK18,UitslagFig!$C$5:$K$251,2,FALSE))</f>
        <v>0</v>
      </c>
      <c r="BK18" s="261"/>
      <c r="BL18" s="47"/>
      <c r="BM18" s="75">
        <f>IF(ISNA(VLOOKUP(BN18,UitslagFig!$C$5:$K$251,1,FALSE)),"",VLOOKUP(BN18,UitslagFig!$C$5:$K$251,2,FALSE))</f>
        <v>0</v>
      </c>
      <c r="BN18" s="261"/>
      <c r="BO18" s="47"/>
      <c r="BP18" s="75">
        <f>IF(ISNA(VLOOKUP(BQ18,UitslagFig!$C$5:$K$251,1,FALSE)),"",VLOOKUP(BQ18,UitslagFig!$C$5:$K$251,2,FALSE))</f>
        <v>0</v>
      </c>
      <c r="BQ18" s="261"/>
      <c r="BR18" s="47"/>
      <c r="BS18" s="75">
        <f>IF(ISNA(VLOOKUP(BT18,UitslagFig!$C$5:$K$251,1,FALSE)),"",VLOOKUP(BT18,UitslagFig!$C$5:$K$251,2,FALSE))</f>
        <v>0</v>
      </c>
      <c r="BT18" s="261"/>
      <c r="BU18" s="47"/>
      <c r="BV18" s="75">
        <f>IF(ISNA(VLOOKUP(BW18,UitslagFig!$C$5:$K$251,1,FALSE)),"",VLOOKUP(BW18,UitslagFig!$C$5:$K$251,2,FALSE))</f>
        <v>0</v>
      </c>
      <c r="BW18" s="261"/>
      <c r="BX18" s="47"/>
      <c r="BY18" s="75">
        <f>IF(ISNA(VLOOKUP(BZ18,UitslagFig!$C$5:$K$251,1,FALSE)),"",VLOOKUP(BZ18,UitslagFig!$C$5:$K$251,2,FALSE))</f>
        <v>0</v>
      </c>
      <c r="BZ18" s="261"/>
      <c r="CA18" s="47"/>
      <c r="CB18" s="75">
        <f>IF(ISNA(VLOOKUP(CC18,UitslagFig!$C$5:$K$251,1,FALSE)),"",VLOOKUP(CC18,UitslagFig!$C$5:$K$251,2,FALSE))</f>
        <v>0</v>
      </c>
      <c r="CC18" s="261"/>
      <c r="CD18" s="47"/>
      <c r="CE18" s="75">
        <f>IF(ISNA(VLOOKUP(CF18,UitslagFig!$C$5:$K$251,1,FALSE)),"",VLOOKUP(CF18,UitslagFig!$C$5:$K$251,2,FALSE))</f>
        <v>0</v>
      </c>
      <c r="CF18" s="261"/>
      <c r="CG18" s="47"/>
      <c r="CH18" s="75">
        <f>IF(ISNA(VLOOKUP(CI18,UitslagFig!$C$5:$K$251,1,FALSE)),"",VLOOKUP(CI18,UitslagFig!$C$5:$K$251,2,FALSE))</f>
        <v>0</v>
      </c>
      <c r="CI18" s="261"/>
      <c r="CJ18" s="47"/>
      <c r="CK18" s="263"/>
      <c r="CL18" s="263"/>
      <c r="CM18" s="75">
        <f>IF(ISNA(VLOOKUP(BH18,UitslagFig!$C$5:$K$251,1,FALSE)),"",VLOOKUP(BH18,UitslagFig!$C$5:$K$251,9,FALSE))</f>
        <v>0</v>
      </c>
      <c r="CN18" s="75">
        <f>IF(ISNA(VLOOKUP(BK18,UitslagFig!$C$5:$K$251,1,FALSE)),"",VLOOKUP(BK18,UitslagFig!$C$5:$K$251,9,FALSE))</f>
        <v>0</v>
      </c>
      <c r="CO18" s="75">
        <f>IF(ISNA(VLOOKUP(BN18,UitslagFig!$C$5:$K$251,1,FALSE)),"",VLOOKUP(BN18,UitslagFig!$C$5:$K$251,9,FALSE))</f>
        <v>0</v>
      </c>
      <c r="CP18" s="75">
        <f>IF(ISNA(VLOOKUP(BQ18,UitslagFig!$C$5:$K$251,1,FALSE)),"",VLOOKUP(BQ18,UitslagFig!$C$5:$K$251,9,FALSE))</f>
        <v>0</v>
      </c>
      <c r="CQ18" s="75">
        <f>IF(ISNA(VLOOKUP(BT18,UitslagFig!$C$5:$K$251,1,FALSE)),"",VLOOKUP(BT18,UitslagFig!$C$5:$K$251,9,FALSE))</f>
        <v>0</v>
      </c>
      <c r="CR18" s="75">
        <f>IF(ISNA(VLOOKUP(BW18,UitslagFig!$C$5:$K$251,1,FALSE)),"",VLOOKUP(BW18,UitslagFig!$C$5:$K$251,9,FALSE))</f>
        <v>0</v>
      </c>
      <c r="CS18" s="75">
        <f>IF(ISNA(VLOOKUP(BZ18,UitslagFig!$C$5:$K$251,1,FALSE)),"",VLOOKUP(BZ18,UitslagFig!$C$5:$K$251,9,FALSE))</f>
        <v>0</v>
      </c>
      <c r="CT18" s="75">
        <f>IF(ISNA(VLOOKUP(CC18,UitslagFig!$C$5:$K$251,1,FALSE)),"",VLOOKUP(CC18,UitslagFig!$C$5:$K$251,9,FALSE))</f>
        <v>0</v>
      </c>
      <c r="CU18" s="75">
        <f>IF(ISNA(VLOOKUP(CF18,UitslagFig!$C$5:$K$251,1,FALSE)),"",VLOOKUP(CF18,UitslagFig!$C$5:$K$251,9,FALSE))</f>
        <v>0</v>
      </c>
      <c r="CV18" s="75">
        <f>IF(ISNA(VLOOKUP(CI18,UitslagFig!$C$5:$K$251,1,FALSE)),"",VLOOKUP(CI18,UitslagFig!$C$5:$K$251,9,FALSE))</f>
        <v>0</v>
      </c>
      <c r="CW18" s="76">
        <f t="shared" si="37"/>
      </c>
      <c r="CX18" s="76">
        <f t="shared" si="38"/>
      </c>
      <c r="CY18" s="76">
        <f t="shared" si="39"/>
      </c>
      <c r="CZ18" s="76">
        <f t="shared" si="40"/>
      </c>
      <c r="DA18" s="76">
        <f t="shared" si="41"/>
      </c>
      <c r="DB18" s="76">
        <f t="shared" si="42"/>
      </c>
      <c r="DC18" s="76">
        <f t="shared" si="43"/>
      </c>
      <c r="DD18" s="76">
        <f t="shared" si="44"/>
      </c>
      <c r="DE18" s="76">
        <f t="shared" si="45"/>
      </c>
      <c r="DF18" s="76">
        <f t="shared" si="46"/>
      </c>
      <c r="DG18" s="76">
        <f t="shared" si="47"/>
        <v>0</v>
      </c>
      <c r="DH18" s="76">
        <f t="shared" si="48"/>
        <v>0</v>
      </c>
      <c r="DI18" s="77">
        <f t="shared" si="49"/>
      </c>
      <c r="DJ18" s="77">
        <f t="shared" si="50"/>
        <v>0</v>
      </c>
      <c r="DK18" s="78">
        <f>IF(DJ18&gt;0,IF(COUNT(CM18:CV18)&gt;=8,SUM(LARGE(CM18:CV18,{1;2;3;4;5;6;9;8}))/8,IF(COUNT(CM18:CV18)&gt;COUNT(CW18:DF18),(SUM(CM18:CV18)-MIN(CM18:CV18))/COUNT(CW18:DF18),AVERAGE(CW18:DF18))),0)</f>
        <v>0</v>
      </c>
      <c r="DL18" s="79">
        <f t="shared" si="51"/>
      </c>
      <c r="DM18" s="262"/>
    </row>
    <row r="19" spans="1:117" ht="12.75">
      <c r="A19" s="8">
        <v>15</v>
      </c>
      <c r="B19" s="24">
        <f t="shared" si="52"/>
        <v>4</v>
      </c>
      <c r="C19" s="44">
        <f t="shared" si="0"/>
        <v>0</v>
      </c>
      <c r="D19" s="45">
        <f>IF(ISNA(VLOOKUP($BH19,UitslagFig!$C$5:$K$251,1,FALSE)),"",VLOOKUP($BH19,UitslagFig!$C$5:$K$251,3,FALSE))</f>
        <v>0</v>
      </c>
      <c r="E19" s="48">
        <f>IF(ISNA(VLOOKUP($BH19,UitslagFig!$C$5:$K$251,1,FALSE)),"",VLOOKUP($BH19,UitslagFig!$C$5:$K$251,5,FALSE))</f>
        <v>0</v>
      </c>
      <c r="F19" s="48"/>
      <c r="G19" s="250">
        <f t="shared" si="1"/>
        <v>0</v>
      </c>
      <c r="H19" s="50">
        <f t="shared" si="2"/>
        <v>0</v>
      </c>
      <c r="I19" s="24">
        <f t="shared" si="3"/>
      </c>
      <c r="J19" s="51">
        <f t="shared" si="4"/>
        <v>0</v>
      </c>
      <c r="K19" s="24">
        <f t="shared" si="5"/>
      </c>
      <c r="L19" s="64"/>
      <c r="M19" s="65"/>
      <c r="N19" s="65"/>
      <c r="O19" s="65"/>
      <c r="P19" s="65"/>
      <c r="Q19" s="54">
        <f t="shared" si="6"/>
        <v>0</v>
      </c>
      <c r="R19" s="55">
        <f t="shared" si="7"/>
        <v>0</v>
      </c>
      <c r="S19" s="55">
        <f t="shared" si="8"/>
        <v>0</v>
      </c>
      <c r="T19" s="55">
        <f t="shared" si="9"/>
        <v>0</v>
      </c>
      <c r="U19" s="55">
        <f t="shared" si="10"/>
        <v>0</v>
      </c>
      <c r="V19" s="56">
        <f t="shared" si="11"/>
        <v>0</v>
      </c>
      <c r="W19" s="57">
        <f t="shared" si="12"/>
        <v>0</v>
      </c>
      <c r="X19" s="58">
        <f t="shared" si="13"/>
        <v>4</v>
      </c>
      <c r="Y19" s="64"/>
      <c r="Z19" s="65"/>
      <c r="AA19" s="65"/>
      <c r="AB19" s="65"/>
      <c r="AC19" s="65"/>
      <c r="AD19" s="59">
        <f t="shared" si="14"/>
        <v>0</v>
      </c>
      <c r="AE19" s="60">
        <f t="shared" si="15"/>
        <v>0</v>
      </c>
      <c r="AF19" s="60">
        <f t="shared" si="16"/>
        <v>0</v>
      </c>
      <c r="AG19" s="60">
        <f t="shared" si="17"/>
        <v>0</v>
      </c>
      <c r="AH19" s="60">
        <f t="shared" si="18"/>
        <v>0</v>
      </c>
      <c r="AI19" s="61">
        <f t="shared" si="19"/>
        <v>0</v>
      </c>
      <c r="AJ19" s="62">
        <f t="shared" si="20"/>
        <v>0</v>
      </c>
      <c r="AK19" s="63">
        <f t="shared" si="21"/>
        <v>4</v>
      </c>
      <c r="AL19" s="64"/>
      <c r="AM19" s="65"/>
      <c r="AN19" s="65"/>
      <c r="AO19" s="65"/>
      <c r="AP19" s="65"/>
      <c r="AQ19" s="66">
        <f t="shared" si="22"/>
        <v>0</v>
      </c>
      <c r="AR19" s="67">
        <f t="shared" si="23"/>
        <v>0</v>
      </c>
      <c r="AS19" s="67">
        <f t="shared" si="24"/>
        <v>0</v>
      </c>
      <c r="AT19" s="67">
        <f t="shared" si="25"/>
        <v>0</v>
      </c>
      <c r="AU19" s="67">
        <f t="shared" si="26"/>
        <v>0</v>
      </c>
      <c r="AV19" s="68">
        <f t="shared" si="27"/>
        <v>0</v>
      </c>
      <c r="AW19" s="69">
        <f t="shared" si="28"/>
        <v>0</v>
      </c>
      <c r="AX19" s="70">
        <f t="shared" si="29"/>
        <v>4</v>
      </c>
      <c r="AY19" s="71">
        <v>0</v>
      </c>
      <c r="AZ19" s="259">
        <f t="shared" si="30"/>
        <v>0</v>
      </c>
      <c r="BA19" s="72">
        <f t="shared" si="31"/>
        <v>0</v>
      </c>
      <c r="BB19" s="74">
        <f t="shared" si="32"/>
        <v>0</v>
      </c>
      <c r="BC19" s="74">
        <f t="shared" si="33"/>
        <v>0</v>
      </c>
      <c r="BD19" s="74">
        <f t="shared" si="34"/>
        <v>0</v>
      </c>
      <c r="BE19" s="74">
        <f t="shared" si="35"/>
        <v>0</v>
      </c>
      <c r="BF19" s="74">
        <f t="shared" si="36"/>
        <v>0</v>
      </c>
      <c r="BG19" s="75">
        <f>IF(ISNA(VLOOKUP(BH19,UitslagFig!$C$5:$K$251,1,FALSE)),"",VLOOKUP(BH19,UitslagFig!$C$5:$K$251,2,FALSE))</f>
        <v>0</v>
      </c>
      <c r="BH19" s="261"/>
      <c r="BI19" s="47"/>
      <c r="BJ19" s="75">
        <f>IF(ISNA(VLOOKUP(BK19,UitslagFig!$C$5:$K$251,1,FALSE)),"",VLOOKUP(BK19,UitslagFig!$C$5:$K$251,2,FALSE))</f>
        <v>0</v>
      </c>
      <c r="BK19" s="261"/>
      <c r="BL19" s="47"/>
      <c r="BM19" s="75">
        <f>IF(ISNA(VLOOKUP(BN19,UitslagFig!$C$5:$K$251,1,FALSE)),"",VLOOKUP(BN19,UitslagFig!$C$5:$K$251,2,FALSE))</f>
        <v>0</v>
      </c>
      <c r="BN19" s="261"/>
      <c r="BO19" s="47"/>
      <c r="BP19" s="75">
        <f>IF(ISNA(VLOOKUP(BQ19,UitslagFig!$C$5:$K$251,1,FALSE)),"",VLOOKUP(BQ19,UitslagFig!$C$5:$K$251,2,FALSE))</f>
        <v>0</v>
      </c>
      <c r="BQ19" s="261"/>
      <c r="BR19" s="47"/>
      <c r="BS19" s="75">
        <f>IF(ISNA(VLOOKUP(BT19,UitslagFig!$C$5:$K$251,1,FALSE)),"",VLOOKUP(BT19,UitslagFig!$C$5:$K$251,2,FALSE))</f>
        <v>0</v>
      </c>
      <c r="BT19" s="261"/>
      <c r="BU19" s="47"/>
      <c r="BV19" s="75">
        <f>IF(ISNA(VLOOKUP(BW19,UitslagFig!$C$5:$K$251,1,FALSE)),"",VLOOKUP(BW19,UitslagFig!$C$5:$K$251,2,FALSE))</f>
        <v>0</v>
      </c>
      <c r="BW19" s="261"/>
      <c r="BX19" s="47"/>
      <c r="BY19" s="75">
        <f>IF(ISNA(VLOOKUP(BZ19,UitslagFig!$C$5:$K$251,1,FALSE)),"",VLOOKUP(BZ19,UitslagFig!$C$5:$K$251,2,FALSE))</f>
        <v>0</v>
      </c>
      <c r="BZ19" s="261"/>
      <c r="CA19" s="47"/>
      <c r="CB19" s="75">
        <f>IF(ISNA(VLOOKUP(CC19,UitslagFig!$C$5:$K$251,1,FALSE)),"",VLOOKUP(CC19,UitslagFig!$C$5:$K$251,2,FALSE))</f>
        <v>0</v>
      </c>
      <c r="CC19" s="261"/>
      <c r="CD19" s="47"/>
      <c r="CE19" s="75">
        <f>IF(ISNA(VLOOKUP(CF19,UitslagFig!$C$5:$K$251,1,FALSE)),"",VLOOKUP(CF19,UitslagFig!$C$5:$K$251,2,FALSE))</f>
        <v>0</v>
      </c>
      <c r="CF19" s="261"/>
      <c r="CG19" s="47"/>
      <c r="CH19" s="75">
        <f>IF(ISNA(VLOOKUP(CI19,UitslagFig!$C$5:$K$251,1,FALSE)),"",VLOOKUP(CI19,UitslagFig!$C$5:$K$251,2,FALSE))</f>
        <v>0</v>
      </c>
      <c r="CI19" s="261"/>
      <c r="CJ19" s="47"/>
      <c r="CK19" s="263"/>
      <c r="CL19" s="263"/>
      <c r="CM19" s="75">
        <f>IF(ISNA(VLOOKUP(BH19,UitslagFig!$C$5:$K$251,1,FALSE)),"",VLOOKUP(BH19,UitslagFig!$C$5:$K$251,9,FALSE))</f>
        <v>0</v>
      </c>
      <c r="CN19" s="75">
        <f>IF(ISNA(VLOOKUP(BK19,UitslagFig!$C$5:$K$251,1,FALSE)),"",VLOOKUP(BK19,UitslagFig!$C$5:$K$251,9,FALSE))</f>
        <v>0</v>
      </c>
      <c r="CO19" s="75">
        <f>IF(ISNA(VLOOKUP(BN19,UitslagFig!$C$5:$K$251,1,FALSE)),"",VLOOKUP(BN19,UitslagFig!$C$5:$K$251,9,FALSE))</f>
        <v>0</v>
      </c>
      <c r="CP19" s="75">
        <f>IF(ISNA(VLOOKUP(BQ19,UitslagFig!$C$5:$K$251,1,FALSE)),"",VLOOKUP(BQ19,UitslagFig!$C$5:$K$251,9,FALSE))</f>
        <v>0</v>
      </c>
      <c r="CQ19" s="75">
        <f>IF(ISNA(VLOOKUP(BT19,UitslagFig!$C$5:$K$251,1,FALSE)),"",VLOOKUP(BT19,UitslagFig!$C$5:$K$251,9,FALSE))</f>
        <v>0</v>
      </c>
      <c r="CR19" s="75">
        <f>IF(ISNA(VLOOKUP(BW19,UitslagFig!$C$5:$K$251,1,FALSE)),"",VLOOKUP(BW19,UitslagFig!$C$5:$K$251,9,FALSE))</f>
        <v>0</v>
      </c>
      <c r="CS19" s="75">
        <f>IF(ISNA(VLOOKUP(BZ19,UitslagFig!$C$5:$K$251,1,FALSE)),"",VLOOKUP(BZ19,UitslagFig!$C$5:$K$251,9,FALSE))</f>
        <v>0</v>
      </c>
      <c r="CT19" s="75">
        <f>IF(ISNA(VLOOKUP(CC19,UitslagFig!$C$5:$K$251,1,FALSE)),"",VLOOKUP(CC19,UitslagFig!$C$5:$K$251,9,FALSE))</f>
        <v>0</v>
      </c>
      <c r="CU19" s="75">
        <f>IF(ISNA(VLOOKUP(CF19,UitslagFig!$C$5:$K$251,1,FALSE)),"",VLOOKUP(CF19,UitslagFig!$C$5:$K$251,9,FALSE))</f>
        <v>0</v>
      </c>
      <c r="CV19" s="75">
        <f>IF(ISNA(VLOOKUP(CI19,UitslagFig!$C$5:$K$251,1,FALSE)),"",VLOOKUP(CI19,UitslagFig!$C$5:$K$251,9,FALSE))</f>
        <v>0</v>
      </c>
      <c r="CW19" s="76">
        <f t="shared" si="37"/>
      </c>
      <c r="CX19" s="76">
        <f t="shared" si="38"/>
      </c>
      <c r="CY19" s="76">
        <f t="shared" si="39"/>
      </c>
      <c r="CZ19" s="76">
        <f t="shared" si="40"/>
      </c>
      <c r="DA19" s="76">
        <f t="shared" si="41"/>
      </c>
      <c r="DB19" s="76">
        <f t="shared" si="42"/>
      </c>
      <c r="DC19" s="76">
        <f t="shared" si="43"/>
      </c>
      <c r="DD19" s="76">
        <f t="shared" si="44"/>
      </c>
      <c r="DE19" s="76">
        <f t="shared" si="45"/>
      </c>
      <c r="DF19" s="76">
        <f t="shared" si="46"/>
      </c>
      <c r="DG19" s="76">
        <f t="shared" si="47"/>
        <v>0</v>
      </c>
      <c r="DH19" s="76">
        <f t="shared" si="48"/>
        <v>0</v>
      </c>
      <c r="DI19" s="77">
        <f t="shared" si="49"/>
      </c>
      <c r="DJ19" s="77">
        <f t="shared" si="50"/>
        <v>0</v>
      </c>
      <c r="DK19" s="78">
        <f>IF(DJ19&gt;0,IF(COUNT(CM19:CV19)&gt;=8,SUM(LARGE(CM19:CV19,{1;2;3;4;5;6;9;8}))/8,IF(COUNT(CM19:CV19)&gt;COUNT(CW19:DF19),(SUM(CM19:CV19)-MIN(CM19:CV19))/COUNT(CW19:DF19),AVERAGE(CW19:DF19))),0)</f>
        <v>0</v>
      </c>
      <c r="DL19" s="79">
        <f t="shared" si="51"/>
      </c>
      <c r="DM19" s="262"/>
    </row>
    <row r="20" spans="1:117" ht="12.75">
      <c r="A20" s="8">
        <v>16</v>
      </c>
      <c r="B20" s="24">
        <f t="shared" si="52"/>
        <v>4</v>
      </c>
      <c r="C20" s="44">
        <f t="shared" si="0"/>
        <v>0</v>
      </c>
      <c r="D20" s="45">
        <f>IF(ISNA(VLOOKUP($BH20,UitslagFig!$C$5:$K$251,1,FALSE)),"",VLOOKUP($BH20,UitslagFig!$C$5:$K$251,3,FALSE))</f>
        <v>0</v>
      </c>
      <c r="E20" s="48">
        <f>IF(ISNA(VLOOKUP($BH20,UitslagFig!$C$5:$K$251,1,FALSE)),"",VLOOKUP($BH20,UitslagFig!$C$5:$K$251,5,FALSE))</f>
        <v>0</v>
      </c>
      <c r="F20" s="48"/>
      <c r="G20" s="250">
        <f t="shared" si="1"/>
        <v>0</v>
      </c>
      <c r="H20" s="50">
        <f t="shared" si="2"/>
        <v>0</v>
      </c>
      <c r="I20" s="24">
        <f t="shared" si="3"/>
      </c>
      <c r="J20" s="51">
        <f t="shared" si="4"/>
        <v>0</v>
      </c>
      <c r="K20" s="24">
        <f t="shared" si="5"/>
      </c>
      <c r="L20" s="64"/>
      <c r="M20" s="65"/>
      <c r="N20" s="65"/>
      <c r="O20" s="65"/>
      <c r="P20" s="65"/>
      <c r="Q20" s="54">
        <f t="shared" si="6"/>
        <v>0</v>
      </c>
      <c r="R20" s="55">
        <f t="shared" si="7"/>
        <v>0</v>
      </c>
      <c r="S20" s="55">
        <f t="shared" si="8"/>
        <v>0</v>
      </c>
      <c r="T20" s="55">
        <f t="shared" si="9"/>
        <v>0</v>
      </c>
      <c r="U20" s="55">
        <f t="shared" si="10"/>
        <v>0</v>
      </c>
      <c r="V20" s="56">
        <f t="shared" si="11"/>
        <v>0</v>
      </c>
      <c r="W20" s="57">
        <f t="shared" si="12"/>
        <v>0</v>
      </c>
      <c r="X20" s="58">
        <f t="shared" si="13"/>
        <v>4</v>
      </c>
      <c r="Y20" s="64"/>
      <c r="Z20" s="65"/>
      <c r="AA20" s="65"/>
      <c r="AB20" s="65"/>
      <c r="AC20" s="65"/>
      <c r="AD20" s="59">
        <f t="shared" si="14"/>
        <v>0</v>
      </c>
      <c r="AE20" s="60">
        <f t="shared" si="15"/>
        <v>0</v>
      </c>
      <c r="AF20" s="60">
        <f t="shared" si="16"/>
        <v>0</v>
      </c>
      <c r="AG20" s="60">
        <f t="shared" si="17"/>
        <v>0</v>
      </c>
      <c r="AH20" s="60">
        <f t="shared" si="18"/>
        <v>0</v>
      </c>
      <c r="AI20" s="61">
        <f t="shared" si="19"/>
        <v>0</v>
      </c>
      <c r="AJ20" s="62">
        <f t="shared" si="20"/>
        <v>0</v>
      </c>
      <c r="AK20" s="63">
        <f t="shared" si="21"/>
        <v>4</v>
      </c>
      <c r="AL20" s="64"/>
      <c r="AM20" s="65"/>
      <c r="AN20" s="65"/>
      <c r="AO20" s="65"/>
      <c r="AP20" s="65"/>
      <c r="AQ20" s="66">
        <f t="shared" si="22"/>
        <v>0</v>
      </c>
      <c r="AR20" s="67">
        <f t="shared" si="23"/>
        <v>0</v>
      </c>
      <c r="AS20" s="67">
        <f t="shared" si="24"/>
        <v>0</v>
      </c>
      <c r="AT20" s="67">
        <f t="shared" si="25"/>
        <v>0</v>
      </c>
      <c r="AU20" s="67">
        <f t="shared" si="26"/>
        <v>0</v>
      </c>
      <c r="AV20" s="68">
        <f t="shared" si="27"/>
        <v>0</v>
      </c>
      <c r="AW20" s="69">
        <f t="shared" si="28"/>
        <v>0</v>
      </c>
      <c r="AX20" s="70">
        <f t="shared" si="29"/>
        <v>4</v>
      </c>
      <c r="AY20" s="71">
        <v>0</v>
      </c>
      <c r="AZ20" s="259">
        <f t="shared" si="30"/>
        <v>0</v>
      </c>
      <c r="BA20" s="72">
        <f t="shared" si="31"/>
        <v>0</v>
      </c>
      <c r="BB20" s="74">
        <f t="shared" si="32"/>
        <v>0</v>
      </c>
      <c r="BC20" s="74">
        <f t="shared" si="33"/>
        <v>0</v>
      </c>
      <c r="BD20" s="74">
        <f t="shared" si="34"/>
        <v>0</v>
      </c>
      <c r="BE20" s="74">
        <f t="shared" si="35"/>
        <v>0</v>
      </c>
      <c r="BF20" s="74">
        <f t="shared" si="36"/>
        <v>0</v>
      </c>
      <c r="BG20" s="75">
        <f>IF(ISNA(VLOOKUP(BH20,UitslagFig!$C$5:$K$251,1,FALSE)),"",VLOOKUP(BH20,UitslagFig!$C$5:$K$251,2,FALSE))</f>
        <v>0</v>
      </c>
      <c r="BH20" s="261"/>
      <c r="BI20" s="47"/>
      <c r="BJ20" s="75">
        <f>IF(ISNA(VLOOKUP(BK20,UitslagFig!$C$5:$K$251,1,FALSE)),"",VLOOKUP(BK20,UitslagFig!$C$5:$K$251,2,FALSE))</f>
        <v>0</v>
      </c>
      <c r="BK20" s="261"/>
      <c r="BL20" s="47"/>
      <c r="BM20" s="75">
        <f>IF(ISNA(VLOOKUP(BN20,UitslagFig!$C$5:$K$251,1,FALSE)),"",VLOOKUP(BN20,UitslagFig!$C$5:$K$251,2,FALSE))</f>
        <v>0</v>
      </c>
      <c r="BN20" s="261"/>
      <c r="BO20" s="47"/>
      <c r="BP20" s="75">
        <f>IF(ISNA(VLOOKUP(BQ20,UitslagFig!$C$5:$K$251,1,FALSE)),"",VLOOKUP(BQ20,UitslagFig!$C$5:$K$251,2,FALSE))</f>
        <v>0</v>
      </c>
      <c r="BQ20" s="261"/>
      <c r="BR20" s="47"/>
      <c r="BS20" s="75">
        <f>IF(ISNA(VLOOKUP(BT20,UitslagFig!$C$5:$K$251,1,FALSE)),"",VLOOKUP(BT20,UitslagFig!$C$5:$K$251,2,FALSE))</f>
        <v>0</v>
      </c>
      <c r="BT20" s="261"/>
      <c r="BU20" s="47"/>
      <c r="BV20" s="75">
        <f>IF(ISNA(VLOOKUP(BW20,UitslagFig!$C$5:$K$251,1,FALSE)),"",VLOOKUP(BW20,UitslagFig!$C$5:$K$251,2,FALSE))</f>
        <v>0</v>
      </c>
      <c r="BW20" s="261"/>
      <c r="BX20" s="47"/>
      <c r="BY20" s="75">
        <f>IF(ISNA(VLOOKUP(BZ20,UitslagFig!$C$5:$K$251,1,FALSE)),"",VLOOKUP(BZ20,UitslagFig!$C$5:$K$251,2,FALSE))</f>
        <v>0</v>
      </c>
      <c r="BZ20" s="261"/>
      <c r="CA20" s="47"/>
      <c r="CB20" s="75">
        <f>IF(ISNA(VLOOKUP(CC20,UitslagFig!$C$5:$K$251,1,FALSE)),"",VLOOKUP(CC20,UitslagFig!$C$5:$K$251,2,FALSE))</f>
        <v>0</v>
      </c>
      <c r="CC20" s="261"/>
      <c r="CD20" s="47"/>
      <c r="CE20" s="75">
        <f>IF(ISNA(VLOOKUP(CF20,UitslagFig!$C$5:$K$251,1,FALSE)),"",VLOOKUP(CF20,UitslagFig!$C$5:$K$251,2,FALSE))</f>
        <v>0</v>
      </c>
      <c r="CF20" s="261"/>
      <c r="CG20" s="47"/>
      <c r="CH20" s="75">
        <f>IF(ISNA(VLOOKUP(CI20,UitslagFig!$C$5:$K$251,1,FALSE)),"",VLOOKUP(CI20,UitslagFig!$C$5:$K$251,2,FALSE))</f>
        <v>0</v>
      </c>
      <c r="CI20" s="261"/>
      <c r="CJ20" s="47"/>
      <c r="CK20" s="263"/>
      <c r="CL20" s="263"/>
      <c r="CM20" s="75">
        <f>IF(ISNA(VLOOKUP(BH20,UitslagFig!$C$5:$K$251,1,FALSE)),"",VLOOKUP(BH20,UitslagFig!$C$5:$K$251,9,FALSE))</f>
        <v>0</v>
      </c>
      <c r="CN20" s="75">
        <f>IF(ISNA(VLOOKUP(BK20,UitslagFig!$C$5:$K$251,1,FALSE)),"",VLOOKUP(BK20,UitslagFig!$C$5:$K$251,9,FALSE))</f>
        <v>0</v>
      </c>
      <c r="CO20" s="75">
        <f>IF(ISNA(VLOOKUP(BN20,UitslagFig!$C$5:$K$251,1,FALSE)),"",VLOOKUP(BN20,UitslagFig!$C$5:$K$251,9,FALSE))</f>
        <v>0</v>
      </c>
      <c r="CP20" s="75">
        <f>IF(ISNA(VLOOKUP(BQ20,UitslagFig!$C$5:$K$251,1,FALSE)),"",VLOOKUP(BQ20,UitslagFig!$C$5:$K$251,9,FALSE))</f>
        <v>0</v>
      </c>
      <c r="CQ20" s="75">
        <f>IF(ISNA(VLOOKUP(BT20,UitslagFig!$C$5:$K$251,1,FALSE)),"",VLOOKUP(BT20,UitslagFig!$C$5:$K$251,9,FALSE))</f>
        <v>0</v>
      </c>
      <c r="CR20" s="75">
        <f>IF(ISNA(VLOOKUP(BW20,UitslagFig!$C$5:$K$251,1,FALSE)),"",VLOOKUP(BW20,UitslagFig!$C$5:$K$251,9,FALSE))</f>
        <v>0</v>
      </c>
      <c r="CS20" s="75">
        <f>IF(ISNA(VLOOKUP(BZ20,UitslagFig!$C$5:$K$251,1,FALSE)),"",VLOOKUP(BZ20,UitslagFig!$C$5:$K$251,9,FALSE))</f>
        <v>0</v>
      </c>
      <c r="CT20" s="75">
        <f>IF(ISNA(VLOOKUP(CC20,UitslagFig!$C$5:$K$251,1,FALSE)),"",VLOOKUP(CC20,UitslagFig!$C$5:$K$251,9,FALSE))</f>
        <v>0</v>
      </c>
      <c r="CU20" s="75">
        <f>IF(ISNA(VLOOKUP(CF20,UitslagFig!$C$5:$K$251,1,FALSE)),"",VLOOKUP(CF20,UitslagFig!$C$5:$K$251,9,FALSE))</f>
        <v>0</v>
      </c>
      <c r="CV20" s="75">
        <f>IF(ISNA(VLOOKUP(CI20,UitslagFig!$C$5:$K$251,1,FALSE)),"",VLOOKUP(CI20,UitslagFig!$C$5:$K$251,9,FALSE))</f>
        <v>0</v>
      </c>
      <c r="CW20" s="76">
        <f t="shared" si="37"/>
      </c>
      <c r="CX20" s="76">
        <f t="shared" si="38"/>
      </c>
      <c r="CY20" s="76">
        <f t="shared" si="39"/>
      </c>
      <c r="CZ20" s="76">
        <f t="shared" si="40"/>
      </c>
      <c r="DA20" s="76">
        <f t="shared" si="41"/>
      </c>
      <c r="DB20" s="76">
        <f t="shared" si="42"/>
      </c>
      <c r="DC20" s="76">
        <f t="shared" si="43"/>
      </c>
      <c r="DD20" s="76">
        <f t="shared" si="44"/>
      </c>
      <c r="DE20" s="76">
        <f t="shared" si="45"/>
      </c>
      <c r="DF20" s="76">
        <f t="shared" si="46"/>
      </c>
      <c r="DG20" s="76">
        <f t="shared" si="47"/>
        <v>0</v>
      </c>
      <c r="DH20" s="76">
        <f t="shared" si="48"/>
        <v>0</v>
      </c>
      <c r="DI20" s="77">
        <f t="shared" si="49"/>
      </c>
      <c r="DJ20" s="77">
        <f t="shared" si="50"/>
        <v>0</v>
      </c>
      <c r="DK20" s="78">
        <f>IF(DJ20&gt;0,IF(COUNT(CM20:CV20)&gt;=8,SUM(LARGE(CM20:CV20,{1;2;3;4;5;6;9;8}))/8,IF(COUNT(CM20:CV20)&gt;COUNT(CW20:DF20),(SUM(CM20:CV20)-MIN(CM20:CV20))/COUNT(CW20:DF20),AVERAGE(CW20:DF20))),0)</f>
        <v>0</v>
      </c>
      <c r="DL20" s="79">
        <f t="shared" si="51"/>
      </c>
      <c r="DM20" s="262"/>
    </row>
    <row r="21" spans="1:117" ht="12.75">
      <c r="A21" s="8">
        <v>17</v>
      </c>
      <c r="B21" s="24">
        <f t="shared" si="52"/>
        <v>4</v>
      </c>
      <c r="C21" s="44">
        <f t="shared" si="0"/>
        <v>0</v>
      </c>
      <c r="D21" s="45">
        <f>IF(ISNA(VLOOKUP($BH21,UitslagFig!$C$5:$K$251,1,FALSE)),"",VLOOKUP($BH21,UitslagFig!$C$5:$K$251,3,FALSE))</f>
        <v>0</v>
      </c>
      <c r="E21" s="48">
        <f>IF(ISNA(VLOOKUP($BH21,UitslagFig!$C$5:$K$251,1,FALSE)),"",VLOOKUP($BH21,UitslagFig!$C$5:$K$251,5,FALSE))</f>
        <v>0</v>
      </c>
      <c r="F21" s="48"/>
      <c r="G21" s="250">
        <f t="shared" si="1"/>
        <v>0</v>
      </c>
      <c r="H21" s="50">
        <f t="shared" si="2"/>
        <v>0</v>
      </c>
      <c r="I21" s="24">
        <f t="shared" si="3"/>
      </c>
      <c r="J21" s="51">
        <f t="shared" si="4"/>
        <v>0</v>
      </c>
      <c r="K21" s="24">
        <f t="shared" si="5"/>
      </c>
      <c r="L21" s="64"/>
      <c r="M21" s="65"/>
      <c r="N21" s="65"/>
      <c r="O21" s="65"/>
      <c r="P21" s="65"/>
      <c r="Q21" s="54">
        <f t="shared" si="6"/>
        <v>0</v>
      </c>
      <c r="R21" s="55">
        <f t="shared" si="7"/>
        <v>0</v>
      </c>
      <c r="S21" s="55">
        <f t="shared" si="8"/>
        <v>0</v>
      </c>
      <c r="T21" s="55">
        <f t="shared" si="9"/>
        <v>0</v>
      </c>
      <c r="U21" s="55">
        <f t="shared" si="10"/>
        <v>0</v>
      </c>
      <c r="V21" s="56">
        <f t="shared" si="11"/>
        <v>0</v>
      </c>
      <c r="W21" s="57">
        <f t="shared" si="12"/>
        <v>0</v>
      </c>
      <c r="X21" s="58">
        <f t="shared" si="13"/>
        <v>4</v>
      </c>
      <c r="Y21" s="64"/>
      <c r="Z21" s="65"/>
      <c r="AA21" s="65"/>
      <c r="AB21" s="65"/>
      <c r="AC21" s="65"/>
      <c r="AD21" s="59">
        <f t="shared" si="14"/>
        <v>0</v>
      </c>
      <c r="AE21" s="60">
        <f t="shared" si="15"/>
        <v>0</v>
      </c>
      <c r="AF21" s="60">
        <f t="shared" si="16"/>
        <v>0</v>
      </c>
      <c r="AG21" s="60">
        <f t="shared" si="17"/>
        <v>0</v>
      </c>
      <c r="AH21" s="60">
        <f t="shared" si="18"/>
        <v>0</v>
      </c>
      <c r="AI21" s="61">
        <f t="shared" si="19"/>
        <v>0</v>
      </c>
      <c r="AJ21" s="62">
        <f t="shared" si="20"/>
        <v>0</v>
      </c>
      <c r="AK21" s="63">
        <f t="shared" si="21"/>
        <v>4</v>
      </c>
      <c r="AL21" s="64"/>
      <c r="AM21" s="65"/>
      <c r="AN21" s="65"/>
      <c r="AO21" s="65"/>
      <c r="AP21" s="65"/>
      <c r="AQ21" s="66">
        <f t="shared" si="22"/>
        <v>0</v>
      </c>
      <c r="AR21" s="67">
        <f t="shared" si="23"/>
        <v>0</v>
      </c>
      <c r="AS21" s="67">
        <f t="shared" si="24"/>
        <v>0</v>
      </c>
      <c r="AT21" s="67">
        <f t="shared" si="25"/>
        <v>0</v>
      </c>
      <c r="AU21" s="67">
        <f t="shared" si="26"/>
        <v>0</v>
      </c>
      <c r="AV21" s="68">
        <f t="shared" si="27"/>
        <v>0</v>
      </c>
      <c r="AW21" s="69">
        <f t="shared" si="28"/>
        <v>0</v>
      </c>
      <c r="AX21" s="70">
        <f t="shared" si="29"/>
        <v>4</v>
      </c>
      <c r="AY21" s="71">
        <v>0</v>
      </c>
      <c r="AZ21" s="259">
        <f t="shared" si="30"/>
        <v>0</v>
      </c>
      <c r="BA21" s="72">
        <f t="shared" si="31"/>
        <v>0</v>
      </c>
      <c r="BB21" s="74">
        <f t="shared" si="32"/>
        <v>0</v>
      </c>
      <c r="BC21" s="74">
        <f t="shared" si="33"/>
        <v>0</v>
      </c>
      <c r="BD21" s="74">
        <f t="shared" si="34"/>
        <v>0</v>
      </c>
      <c r="BE21" s="74">
        <f t="shared" si="35"/>
        <v>0</v>
      </c>
      <c r="BF21" s="74">
        <f t="shared" si="36"/>
        <v>0</v>
      </c>
      <c r="BG21" s="75">
        <f>IF(ISNA(VLOOKUP(BH21,UitslagFig!$C$5:$K$251,1,FALSE)),"",VLOOKUP(BH21,UitslagFig!$C$5:$K$251,2,FALSE))</f>
        <v>0</v>
      </c>
      <c r="BH21" s="261"/>
      <c r="BI21" s="47"/>
      <c r="BJ21" s="75">
        <f>IF(ISNA(VLOOKUP(BK21,UitslagFig!$C$5:$K$251,1,FALSE)),"",VLOOKUP(BK21,UitslagFig!$C$5:$K$251,2,FALSE))</f>
        <v>0</v>
      </c>
      <c r="BK21" s="261"/>
      <c r="BL21" s="47"/>
      <c r="BM21" s="75">
        <f>IF(ISNA(VLOOKUP(BN21,UitslagFig!$C$5:$K$251,1,FALSE)),"",VLOOKUP(BN21,UitslagFig!$C$5:$K$251,2,FALSE))</f>
        <v>0</v>
      </c>
      <c r="BN21" s="261"/>
      <c r="BO21" s="47"/>
      <c r="BP21" s="75">
        <f>IF(ISNA(VLOOKUP(BQ21,UitslagFig!$C$5:$K$251,1,FALSE)),"",VLOOKUP(BQ21,UitslagFig!$C$5:$K$251,2,FALSE))</f>
        <v>0</v>
      </c>
      <c r="BQ21" s="261"/>
      <c r="BR21" s="47"/>
      <c r="BS21" s="75">
        <f>IF(ISNA(VLOOKUP(BT21,UitslagFig!$C$5:$K$251,1,FALSE)),"",VLOOKUP(BT21,UitslagFig!$C$5:$K$251,2,FALSE))</f>
        <v>0</v>
      </c>
      <c r="BT21" s="261"/>
      <c r="BU21" s="47"/>
      <c r="BV21" s="75">
        <f>IF(ISNA(VLOOKUP(BW21,UitslagFig!$C$5:$K$251,1,FALSE)),"",VLOOKUP(BW21,UitslagFig!$C$5:$K$251,2,FALSE))</f>
        <v>0</v>
      </c>
      <c r="BW21" s="261"/>
      <c r="BX21" s="47"/>
      <c r="BY21" s="75">
        <f>IF(ISNA(VLOOKUP(BZ21,UitslagFig!$C$5:$K$251,1,FALSE)),"",VLOOKUP(BZ21,UitslagFig!$C$5:$K$251,2,FALSE))</f>
        <v>0</v>
      </c>
      <c r="BZ21" s="261"/>
      <c r="CA21" s="47"/>
      <c r="CB21" s="75">
        <f>IF(ISNA(VLOOKUP(CC21,UitslagFig!$C$5:$K$251,1,FALSE)),"",VLOOKUP(CC21,UitslagFig!$C$5:$K$251,2,FALSE))</f>
        <v>0</v>
      </c>
      <c r="CC21" s="261"/>
      <c r="CD21" s="47"/>
      <c r="CE21" s="75">
        <f>IF(ISNA(VLOOKUP(CF21,UitslagFig!$C$5:$K$251,1,FALSE)),"",VLOOKUP(CF21,UitslagFig!$C$5:$K$251,2,FALSE))</f>
        <v>0</v>
      </c>
      <c r="CF21" s="261"/>
      <c r="CG21" s="47"/>
      <c r="CH21" s="75">
        <f>IF(ISNA(VLOOKUP(CI21,UitslagFig!$C$5:$K$251,1,FALSE)),"",VLOOKUP(CI21,UitslagFig!$C$5:$K$251,2,FALSE))</f>
        <v>0</v>
      </c>
      <c r="CI21" s="261"/>
      <c r="CJ21" s="47"/>
      <c r="CK21" s="263"/>
      <c r="CL21" s="263"/>
      <c r="CM21" s="75">
        <f>IF(ISNA(VLOOKUP(BH21,UitslagFig!$C$5:$K$251,1,FALSE)),"",VLOOKUP(BH21,UitslagFig!$C$5:$K$251,9,FALSE))</f>
        <v>0</v>
      </c>
      <c r="CN21" s="75">
        <f>IF(ISNA(VLOOKUP(BK21,UitslagFig!$C$5:$K$251,1,FALSE)),"",VLOOKUP(BK21,UitslagFig!$C$5:$K$251,9,FALSE))</f>
        <v>0</v>
      </c>
      <c r="CO21" s="75">
        <f>IF(ISNA(VLOOKUP(BN21,UitslagFig!$C$5:$K$251,1,FALSE)),"",VLOOKUP(BN21,UitslagFig!$C$5:$K$251,9,FALSE))</f>
        <v>0</v>
      </c>
      <c r="CP21" s="75">
        <f>IF(ISNA(VLOOKUP(BQ21,UitslagFig!$C$5:$K$251,1,FALSE)),"",VLOOKUP(BQ21,UitslagFig!$C$5:$K$251,9,FALSE))</f>
        <v>0</v>
      </c>
      <c r="CQ21" s="75">
        <f>IF(ISNA(VLOOKUP(BT21,UitslagFig!$C$5:$K$251,1,FALSE)),"",VLOOKUP(BT21,UitslagFig!$C$5:$K$251,9,FALSE))</f>
        <v>0</v>
      </c>
      <c r="CR21" s="75">
        <f>IF(ISNA(VLOOKUP(BW21,UitslagFig!$C$5:$K$251,1,FALSE)),"",VLOOKUP(BW21,UitslagFig!$C$5:$K$251,9,FALSE))</f>
        <v>0</v>
      </c>
      <c r="CS21" s="75">
        <f>IF(ISNA(VLOOKUP(BZ21,UitslagFig!$C$5:$K$251,1,FALSE)),"",VLOOKUP(BZ21,UitslagFig!$C$5:$K$251,9,FALSE))</f>
        <v>0</v>
      </c>
      <c r="CT21" s="75">
        <f>IF(ISNA(VLOOKUP(CC21,UitslagFig!$C$5:$K$251,1,FALSE)),"",VLOOKUP(CC21,UitslagFig!$C$5:$K$251,9,FALSE))</f>
        <v>0</v>
      </c>
      <c r="CU21" s="75">
        <f>IF(ISNA(VLOOKUP(CF21,UitslagFig!$C$5:$K$251,1,FALSE)),"",VLOOKUP(CF21,UitslagFig!$C$5:$K$251,9,FALSE))</f>
        <v>0</v>
      </c>
      <c r="CV21" s="75">
        <f>IF(ISNA(VLOOKUP(CI21,UitslagFig!$C$5:$K$251,1,FALSE)),"",VLOOKUP(CI21,UitslagFig!$C$5:$K$251,9,FALSE))</f>
        <v>0</v>
      </c>
      <c r="CW21" s="76">
        <f t="shared" si="37"/>
      </c>
      <c r="CX21" s="76">
        <f t="shared" si="38"/>
      </c>
      <c r="CY21" s="76">
        <f t="shared" si="39"/>
      </c>
      <c r="CZ21" s="76">
        <f t="shared" si="40"/>
      </c>
      <c r="DA21" s="76">
        <f t="shared" si="41"/>
      </c>
      <c r="DB21" s="76">
        <f t="shared" si="42"/>
      </c>
      <c r="DC21" s="76">
        <f t="shared" si="43"/>
      </c>
      <c r="DD21" s="76">
        <f t="shared" si="44"/>
      </c>
      <c r="DE21" s="76">
        <f t="shared" si="45"/>
      </c>
      <c r="DF21" s="76">
        <f t="shared" si="46"/>
      </c>
      <c r="DG21" s="76">
        <f t="shared" si="47"/>
        <v>0</v>
      </c>
      <c r="DH21" s="76">
        <f t="shared" si="48"/>
        <v>0</v>
      </c>
      <c r="DI21" s="77">
        <f t="shared" si="49"/>
      </c>
      <c r="DJ21" s="77">
        <f t="shared" si="50"/>
        <v>0</v>
      </c>
      <c r="DK21" s="78">
        <f>IF(DJ21&gt;0,IF(COUNT(CM21:CV21)&gt;=8,SUM(LARGE(CM21:CV21,{1;2;3;4;5;6;9;8}))/8,IF(COUNT(CM21:CV21)&gt;COUNT(CW21:DF21),(SUM(CM21:CV21)-MIN(CM21:CV21))/COUNT(CW21:DF21),AVERAGE(CW21:DF21))),0)</f>
        <v>0</v>
      </c>
      <c r="DL21" s="79">
        <f t="shared" si="51"/>
      </c>
      <c r="DM21" s="262"/>
    </row>
    <row r="22" spans="1:117" ht="12.75">
      <c r="A22" s="8">
        <v>18</v>
      </c>
      <c r="B22" s="24">
        <f t="shared" si="52"/>
        <v>4</v>
      </c>
      <c r="C22" s="44">
        <f t="shared" si="0"/>
        <v>0</v>
      </c>
      <c r="D22" s="45">
        <f>IF(ISNA(VLOOKUP($BH22,UitslagFig!$C$5:$K$251,1,FALSE)),"",VLOOKUP($BH22,UitslagFig!$C$5:$K$251,3,FALSE))</f>
        <v>0</v>
      </c>
      <c r="E22" s="48">
        <f>IF(ISNA(VLOOKUP($BH22,UitslagFig!$C$5:$K$251,1,FALSE)),"",VLOOKUP($BH22,UitslagFig!$C$5:$K$251,5,FALSE))</f>
        <v>0</v>
      </c>
      <c r="F22" s="48"/>
      <c r="G22" s="250">
        <f t="shared" si="1"/>
        <v>0</v>
      </c>
      <c r="H22" s="50">
        <f t="shared" si="2"/>
        <v>0</v>
      </c>
      <c r="I22" s="24">
        <f t="shared" si="3"/>
      </c>
      <c r="J22" s="51">
        <f t="shared" si="4"/>
        <v>0</v>
      </c>
      <c r="K22" s="24">
        <f t="shared" si="5"/>
      </c>
      <c r="L22" s="64"/>
      <c r="M22" s="65"/>
      <c r="N22" s="65"/>
      <c r="O22" s="65"/>
      <c r="P22" s="65"/>
      <c r="Q22" s="54">
        <f t="shared" si="6"/>
        <v>0</v>
      </c>
      <c r="R22" s="55">
        <f t="shared" si="7"/>
        <v>0</v>
      </c>
      <c r="S22" s="55">
        <f t="shared" si="8"/>
        <v>0</v>
      </c>
      <c r="T22" s="55">
        <f t="shared" si="9"/>
        <v>0</v>
      </c>
      <c r="U22" s="55">
        <f t="shared" si="10"/>
        <v>0</v>
      </c>
      <c r="V22" s="56">
        <f t="shared" si="11"/>
        <v>0</v>
      </c>
      <c r="W22" s="57">
        <f t="shared" si="12"/>
        <v>0</v>
      </c>
      <c r="X22" s="58">
        <f t="shared" si="13"/>
        <v>4</v>
      </c>
      <c r="Y22" s="64"/>
      <c r="Z22" s="65"/>
      <c r="AA22" s="65"/>
      <c r="AB22" s="65"/>
      <c r="AC22" s="65"/>
      <c r="AD22" s="59">
        <f t="shared" si="14"/>
        <v>0</v>
      </c>
      <c r="AE22" s="60">
        <f t="shared" si="15"/>
        <v>0</v>
      </c>
      <c r="AF22" s="60">
        <f t="shared" si="16"/>
        <v>0</v>
      </c>
      <c r="AG22" s="60">
        <f t="shared" si="17"/>
        <v>0</v>
      </c>
      <c r="AH22" s="60">
        <f t="shared" si="18"/>
        <v>0</v>
      </c>
      <c r="AI22" s="61">
        <f t="shared" si="19"/>
        <v>0</v>
      </c>
      <c r="AJ22" s="62">
        <f t="shared" si="20"/>
        <v>0</v>
      </c>
      <c r="AK22" s="63">
        <f t="shared" si="21"/>
        <v>4</v>
      </c>
      <c r="AL22" s="64"/>
      <c r="AM22" s="65"/>
      <c r="AN22" s="65"/>
      <c r="AO22" s="65"/>
      <c r="AP22" s="65"/>
      <c r="AQ22" s="66">
        <f t="shared" si="22"/>
        <v>0</v>
      </c>
      <c r="AR22" s="67">
        <f t="shared" si="23"/>
        <v>0</v>
      </c>
      <c r="AS22" s="67">
        <f t="shared" si="24"/>
        <v>0</v>
      </c>
      <c r="AT22" s="67">
        <f t="shared" si="25"/>
        <v>0</v>
      </c>
      <c r="AU22" s="67">
        <f t="shared" si="26"/>
        <v>0</v>
      </c>
      <c r="AV22" s="68">
        <f t="shared" si="27"/>
        <v>0</v>
      </c>
      <c r="AW22" s="69">
        <f t="shared" si="28"/>
        <v>0</v>
      </c>
      <c r="AX22" s="70">
        <f t="shared" si="29"/>
        <v>4</v>
      </c>
      <c r="AY22" s="71">
        <v>0</v>
      </c>
      <c r="AZ22" s="259">
        <f t="shared" si="30"/>
        <v>0</v>
      </c>
      <c r="BA22" s="72">
        <f t="shared" si="31"/>
        <v>0</v>
      </c>
      <c r="BB22" s="74">
        <f t="shared" si="32"/>
        <v>0</v>
      </c>
      <c r="BC22" s="74">
        <f t="shared" si="33"/>
        <v>0</v>
      </c>
      <c r="BD22" s="74">
        <f t="shared" si="34"/>
        <v>0</v>
      </c>
      <c r="BE22" s="74">
        <f t="shared" si="35"/>
        <v>0</v>
      </c>
      <c r="BF22" s="74">
        <f t="shared" si="36"/>
        <v>0</v>
      </c>
      <c r="BG22" s="75">
        <f>IF(ISNA(VLOOKUP(BH22,UitslagFig!$C$5:$K$251,1,FALSE)),"",VLOOKUP(BH22,UitslagFig!$C$5:$K$251,2,FALSE))</f>
        <v>0</v>
      </c>
      <c r="BH22" s="261"/>
      <c r="BI22" s="47"/>
      <c r="BJ22" s="75">
        <f>IF(ISNA(VLOOKUP(BK22,UitslagFig!$C$5:$K$251,1,FALSE)),"",VLOOKUP(BK22,UitslagFig!$C$5:$K$251,2,FALSE))</f>
        <v>0</v>
      </c>
      <c r="BK22" s="261"/>
      <c r="BL22" s="47"/>
      <c r="BM22" s="75">
        <f>IF(ISNA(VLOOKUP(BN22,UitslagFig!$C$5:$K$251,1,FALSE)),"",VLOOKUP(BN22,UitslagFig!$C$5:$K$251,2,FALSE))</f>
        <v>0</v>
      </c>
      <c r="BN22" s="261"/>
      <c r="BO22" s="47"/>
      <c r="BP22" s="75">
        <f>IF(ISNA(VLOOKUP(BQ22,UitslagFig!$C$5:$K$251,1,FALSE)),"",VLOOKUP(BQ22,UitslagFig!$C$5:$K$251,2,FALSE))</f>
        <v>0</v>
      </c>
      <c r="BQ22" s="261"/>
      <c r="BR22" s="47"/>
      <c r="BS22" s="75">
        <f>IF(ISNA(VLOOKUP(BT22,UitslagFig!$C$5:$K$251,1,FALSE)),"",VLOOKUP(BT22,UitslagFig!$C$5:$K$251,2,FALSE))</f>
        <v>0</v>
      </c>
      <c r="BT22" s="261"/>
      <c r="BU22" s="47"/>
      <c r="BV22" s="75">
        <f>IF(ISNA(VLOOKUP(BW22,UitslagFig!$C$5:$K$251,1,FALSE)),"",VLOOKUP(BW22,UitslagFig!$C$5:$K$251,2,FALSE))</f>
        <v>0</v>
      </c>
      <c r="BW22" s="261"/>
      <c r="BX22" s="47"/>
      <c r="BY22" s="75">
        <f>IF(ISNA(VLOOKUP(BZ22,UitslagFig!$C$5:$K$251,1,FALSE)),"",VLOOKUP(BZ22,UitslagFig!$C$5:$K$251,2,FALSE))</f>
        <v>0</v>
      </c>
      <c r="BZ22" s="261"/>
      <c r="CA22" s="47"/>
      <c r="CB22" s="75">
        <f>IF(ISNA(VLOOKUP(CC22,UitslagFig!$C$5:$K$251,1,FALSE)),"",VLOOKUP(CC22,UitslagFig!$C$5:$K$251,2,FALSE))</f>
        <v>0</v>
      </c>
      <c r="CC22" s="261"/>
      <c r="CD22" s="47"/>
      <c r="CE22" s="75">
        <f>IF(ISNA(VLOOKUP(CF22,UitslagFig!$C$5:$K$251,1,FALSE)),"",VLOOKUP(CF22,UitslagFig!$C$5:$K$251,2,FALSE))</f>
        <v>0</v>
      </c>
      <c r="CF22" s="261"/>
      <c r="CG22" s="47"/>
      <c r="CH22" s="75">
        <f>IF(ISNA(VLOOKUP(CI22,UitslagFig!$C$5:$K$251,1,FALSE)),"",VLOOKUP(CI22,UitslagFig!$C$5:$K$251,2,FALSE))</f>
        <v>0</v>
      </c>
      <c r="CI22" s="261"/>
      <c r="CJ22" s="47"/>
      <c r="CK22" s="263"/>
      <c r="CL22" s="263"/>
      <c r="CM22" s="75">
        <f>IF(ISNA(VLOOKUP(BH22,UitslagFig!$C$5:$K$251,1,FALSE)),"",VLOOKUP(BH22,UitslagFig!$C$5:$K$251,9,FALSE))</f>
        <v>0</v>
      </c>
      <c r="CN22" s="75">
        <f>IF(ISNA(VLOOKUP(BK22,UitslagFig!$C$5:$K$251,1,FALSE)),"",VLOOKUP(BK22,UitslagFig!$C$5:$K$251,9,FALSE))</f>
        <v>0</v>
      </c>
      <c r="CO22" s="75">
        <f>IF(ISNA(VLOOKUP(BN22,UitslagFig!$C$5:$K$251,1,FALSE)),"",VLOOKUP(BN22,UitslagFig!$C$5:$K$251,9,FALSE))</f>
        <v>0</v>
      </c>
      <c r="CP22" s="75">
        <f>IF(ISNA(VLOOKUP(BQ22,UitslagFig!$C$5:$K$251,1,FALSE)),"",VLOOKUP(BQ22,UitslagFig!$C$5:$K$251,9,FALSE))</f>
        <v>0</v>
      </c>
      <c r="CQ22" s="75">
        <f>IF(ISNA(VLOOKUP(BT22,UitslagFig!$C$5:$K$251,1,FALSE)),"",VLOOKUP(BT22,UitslagFig!$C$5:$K$251,9,FALSE))</f>
        <v>0</v>
      </c>
      <c r="CR22" s="75">
        <f>IF(ISNA(VLOOKUP(BW22,UitslagFig!$C$5:$K$251,1,FALSE)),"",VLOOKUP(BW22,UitslagFig!$C$5:$K$251,9,FALSE))</f>
        <v>0</v>
      </c>
      <c r="CS22" s="75">
        <f>IF(ISNA(VLOOKUP(BZ22,UitslagFig!$C$5:$K$251,1,FALSE)),"",VLOOKUP(BZ22,UitslagFig!$C$5:$K$251,9,FALSE))</f>
        <v>0</v>
      </c>
      <c r="CT22" s="75">
        <f>IF(ISNA(VLOOKUP(CC22,UitslagFig!$C$5:$K$251,1,FALSE)),"",VLOOKUP(CC22,UitslagFig!$C$5:$K$251,9,FALSE))</f>
        <v>0</v>
      </c>
      <c r="CU22" s="75">
        <f>IF(ISNA(VLOOKUP(CF22,UitslagFig!$C$5:$K$251,1,FALSE)),"",VLOOKUP(CF22,UitslagFig!$C$5:$K$251,9,FALSE))</f>
        <v>0</v>
      </c>
      <c r="CV22" s="75">
        <f>IF(ISNA(VLOOKUP(CI22,UitslagFig!$C$5:$K$251,1,FALSE)),"",VLOOKUP(CI22,UitslagFig!$C$5:$K$251,9,FALSE))</f>
        <v>0</v>
      </c>
      <c r="CW22" s="76">
        <f t="shared" si="37"/>
      </c>
      <c r="CX22" s="76">
        <f t="shared" si="38"/>
      </c>
      <c r="CY22" s="76">
        <f t="shared" si="39"/>
      </c>
      <c r="CZ22" s="76">
        <f t="shared" si="40"/>
      </c>
      <c r="DA22" s="76">
        <f t="shared" si="41"/>
      </c>
      <c r="DB22" s="76">
        <f t="shared" si="42"/>
      </c>
      <c r="DC22" s="76">
        <f t="shared" si="43"/>
      </c>
      <c r="DD22" s="76">
        <f t="shared" si="44"/>
      </c>
      <c r="DE22" s="76">
        <f t="shared" si="45"/>
      </c>
      <c r="DF22" s="76">
        <f t="shared" si="46"/>
      </c>
      <c r="DG22" s="76">
        <f t="shared" si="47"/>
        <v>0</v>
      </c>
      <c r="DH22" s="76">
        <f t="shared" si="48"/>
        <v>0</v>
      </c>
      <c r="DI22" s="77">
        <f t="shared" si="49"/>
      </c>
      <c r="DJ22" s="77">
        <f t="shared" si="50"/>
        <v>0</v>
      </c>
      <c r="DK22" s="78">
        <f>IF(DJ22&gt;0,IF(COUNT(CM22:CV22)&gt;=8,SUM(LARGE(CM22:CV22,{1;2;3;4;5;6;9;8}))/8,IF(COUNT(CM22:CV22)&gt;COUNT(CW22:DF22),(SUM(CM22:CV22)-MIN(CM22:CV22))/COUNT(CW22:DF22),AVERAGE(CW22:DF22))),0)</f>
        <v>0</v>
      </c>
      <c r="DL22" s="79">
        <f t="shared" si="51"/>
      </c>
      <c r="DM22" s="262"/>
    </row>
    <row r="23" spans="1:117" ht="12.75">
      <c r="A23" s="8">
        <v>19</v>
      </c>
      <c r="B23" s="24">
        <f t="shared" si="52"/>
        <v>4</v>
      </c>
      <c r="C23" s="44">
        <f t="shared" si="0"/>
        <v>0</v>
      </c>
      <c r="D23" s="45">
        <f>IF(ISNA(VLOOKUP($BH23,UitslagFig!$C$5:$K$251,1,FALSE)),"",VLOOKUP($BH23,UitslagFig!$C$5:$K$251,3,FALSE))</f>
        <v>0</v>
      </c>
      <c r="E23" s="48">
        <f>IF(ISNA(VLOOKUP($BH23,UitslagFig!$C$5:$K$251,1,FALSE)),"",VLOOKUP($BH23,UitslagFig!$C$5:$K$251,5,FALSE))</f>
        <v>0</v>
      </c>
      <c r="F23" s="48"/>
      <c r="G23" s="250">
        <f t="shared" si="1"/>
        <v>0</v>
      </c>
      <c r="H23" s="50">
        <f t="shared" si="2"/>
        <v>0</v>
      </c>
      <c r="I23" s="24">
        <f t="shared" si="3"/>
      </c>
      <c r="J23" s="51">
        <f t="shared" si="4"/>
        <v>0</v>
      </c>
      <c r="K23" s="24">
        <f t="shared" si="5"/>
      </c>
      <c r="L23" s="64"/>
      <c r="M23" s="65"/>
      <c r="N23" s="65"/>
      <c r="O23" s="65"/>
      <c r="P23" s="65"/>
      <c r="Q23" s="54">
        <f t="shared" si="6"/>
        <v>0</v>
      </c>
      <c r="R23" s="55">
        <f t="shared" si="7"/>
        <v>0</v>
      </c>
      <c r="S23" s="55">
        <f t="shared" si="8"/>
        <v>0</v>
      </c>
      <c r="T23" s="55">
        <f t="shared" si="9"/>
        <v>0</v>
      </c>
      <c r="U23" s="55">
        <f t="shared" si="10"/>
        <v>0</v>
      </c>
      <c r="V23" s="56">
        <f t="shared" si="11"/>
        <v>0</v>
      </c>
      <c r="W23" s="57">
        <f t="shared" si="12"/>
        <v>0</v>
      </c>
      <c r="X23" s="58">
        <f t="shared" si="13"/>
        <v>4</v>
      </c>
      <c r="Y23" s="64"/>
      <c r="Z23" s="65"/>
      <c r="AA23" s="65"/>
      <c r="AB23" s="65"/>
      <c r="AC23" s="65"/>
      <c r="AD23" s="59">
        <f t="shared" si="14"/>
        <v>0</v>
      </c>
      <c r="AE23" s="60">
        <f t="shared" si="15"/>
        <v>0</v>
      </c>
      <c r="AF23" s="60">
        <f t="shared" si="16"/>
        <v>0</v>
      </c>
      <c r="AG23" s="60">
        <f t="shared" si="17"/>
        <v>0</v>
      </c>
      <c r="AH23" s="60">
        <f t="shared" si="18"/>
        <v>0</v>
      </c>
      <c r="AI23" s="61">
        <f t="shared" si="19"/>
        <v>0</v>
      </c>
      <c r="AJ23" s="62">
        <f t="shared" si="20"/>
        <v>0</v>
      </c>
      <c r="AK23" s="63">
        <f t="shared" si="21"/>
        <v>4</v>
      </c>
      <c r="AL23" s="64"/>
      <c r="AM23" s="65"/>
      <c r="AN23" s="65"/>
      <c r="AO23" s="65"/>
      <c r="AP23" s="65"/>
      <c r="AQ23" s="66">
        <f t="shared" si="22"/>
        <v>0</v>
      </c>
      <c r="AR23" s="67">
        <f t="shared" si="23"/>
        <v>0</v>
      </c>
      <c r="AS23" s="67">
        <f t="shared" si="24"/>
        <v>0</v>
      </c>
      <c r="AT23" s="67">
        <f t="shared" si="25"/>
        <v>0</v>
      </c>
      <c r="AU23" s="67">
        <f t="shared" si="26"/>
        <v>0</v>
      </c>
      <c r="AV23" s="68">
        <f t="shared" si="27"/>
        <v>0</v>
      </c>
      <c r="AW23" s="69">
        <f t="shared" si="28"/>
        <v>0</v>
      </c>
      <c r="AX23" s="70">
        <f t="shared" si="29"/>
        <v>4</v>
      </c>
      <c r="AY23" s="71">
        <v>0</v>
      </c>
      <c r="AZ23" s="259">
        <f t="shared" si="30"/>
        <v>0</v>
      </c>
      <c r="BA23" s="72">
        <f t="shared" si="31"/>
        <v>0</v>
      </c>
      <c r="BB23" s="74">
        <f t="shared" si="32"/>
        <v>0</v>
      </c>
      <c r="BC23" s="74">
        <f t="shared" si="33"/>
        <v>0</v>
      </c>
      <c r="BD23" s="74">
        <f t="shared" si="34"/>
        <v>0</v>
      </c>
      <c r="BE23" s="74">
        <f t="shared" si="35"/>
        <v>0</v>
      </c>
      <c r="BF23" s="74">
        <f t="shared" si="36"/>
        <v>0</v>
      </c>
      <c r="BG23" s="75">
        <f>IF(ISNA(VLOOKUP(BH23,UitslagFig!$C$5:$K$251,1,FALSE)),"",VLOOKUP(BH23,UitslagFig!$C$5:$K$251,2,FALSE))</f>
        <v>0</v>
      </c>
      <c r="BH23" s="261"/>
      <c r="BI23" s="47"/>
      <c r="BJ23" s="75">
        <f>IF(ISNA(VLOOKUP(BK23,UitslagFig!$C$5:$K$251,1,FALSE)),"",VLOOKUP(BK23,UitslagFig!$C$5:$K$251,2,FALSE))</f>
        <v>0</v>
      </c>
      <c r="BK23" s="261"/>
      <c r="BL23" s="47"/>
      <c r="BM23" s="75">
        <f>IF(ISNA(VLOOKUP(BN23,UitslagFig!$C$5:$K$251,1,FALSE)),"",VLOOKUP(BN23,UitslagFig!$C$5:$K$251,2,FALSE))</f>
        <v>0</v>
      </c>
      <c r="BN23" s="261"/>
      <c r="BO23" s="47"/>
      <c r="BP23" s="75">
        <f>IF(ISNA(VLOOKUP(BQ23,UitslagFig!$C$5:$K$251,1,FALSE)),"",VLOOKUP(BQ23,UitslagFig!$C$5:$K$251,2,FALSE))</f>
        <v>0</v>
      </c>
      <c r="BQ23" s="261"/>
      <c r="BR23" s="47"/>
      <c r="BS23" s="75">
        <f>IF(ISNA(VLOOKUP(BT23,UitslagFig!$C$5:$K$251,1,FALSE)),"",VLOOKUP(BT23,UitslagFig!$C$5:$K$251,2,FALSE))</f>
        <v>0</v>
      </c>
      <c r="BT23" s="261"/>
      <c r="BU23" s="47"/>
      <c r="BV23" s="75">
        <f>IF(ISNA(VLOOKUP(BW23,UitslagFig!$C$5:$K$251,1,FALSE)),"",VLOOKUP(BW23,UitslagFig!$C$5:$K$251,2,FALSE))</f>
        <v>0</v>
      </c>
      <c r="BW23" s="261"/>
      <c r="BX23" s="47"/>
      <c r="BY23" s="75">
        <f>IF(ISNA(VLOOKUP(BZ23,UitslagFig!$C$5:$K$251,1,FALSE)),"",VLOOKUP(BZ23,UitslagFig!$C$5:$K$251,2,FALSE))</f>
        <v>0</v>
      </c>
      <c r="BZ23" s="261"/>
      <c r="CA23" s="47"/>
      <c r="CB23" s="75">
        <f>IF(ISNA(VLOOKUP(CC23,UitslagFig!$C$5:$K$251,1,FALSE)),"",VLOOKUP(CC23,UitslagFig!$C$5:$K$251,2,FALSE))</f>
        <v>0</v>
      </c>
      <c r="CC23" s="261"/>
      <c r="CD23" s="47"/>
      <c r="CE23" s="75">
        <f>IF(ISNA(VLOOKUP(CF23,UitslagFig!$C$5:$K$251,1,FALSE)),"",VLOOKUP(CF23,UitslagFig!$C$5:$K$251,2,FALSE))</f>
        <v>0</v>
      </c>
      <c r="CF23" s="261"/>
      <c r="CG23" s="47"/>
      <c r="CH23" s="75">
        <f>IF(ISNA(VLOOKUP(CI23,UitslagFig!$C$5:$K$251,1,FALSE)),"",VLOOKUP(CI23,UitslagFig!$C$5:$K$251,2,FALSE))</f>
        <v>0</v>
      </c>
      <c r="CI23" s="261"/>
      <c r="CJ23" s="47"/>
      <c r="CK23" s="263"/>
      <c r="CL23" s="263"/>
      <c r="CM23" s="75">
        <f>IF(ISNA(VLOOKUP(BH23,UitslagFig!$C$5:$K$251,1,FALSE)),"",VLOOKUP(BH23,UitslagFig!$C$5:$K$251,9,FALSE))</f>
        <v>0</v>
      </c>
      <c r="CN23" s="75">
        <f>IF(ISNA(VLOOKUP(BK23,UitslagFig!$C$5:$K$251,1,FALSE)),"",VLOOKUP(BK23,UitslagFig!$C$5:$K$251,9,FALSE))</f>
        <v>0</v>
      </c>
      <c r="CO23" s="75">
        <f>IF(ISNA(VLOOKUP(BN23,UitslagFig!$C$5:$K$251,1,FALSE)),"",VLOOKUP(BN23,UitslagFig!$C$5:$K$251,9,FALSE))</f>
        <v>0</v>
      </c>
      <c r="CP23" s="75">
        <f>IF(ISNA(VLOOKUP(BQ23,UitslagFig!$C$5:$K$251,1,FALSE)),"",VLOOKUP(BQ23,UitslagFig!$C$5:$K$251,9,FALSE))</f>
        <v>0</v>
      </c>
      <c r="CQ23" s="75">
        <f>IF(ISNA(VLOOKUP(BT23,UitslagFig!$C$5:$K$251,1,FALSE)),"",VLOOKUP(BT23,UitslagFig!$C$5:$K$251,9,FALSE))</f>
        <v>0</v>
      </c>
      <c r="CR23" s="75">
        <f>IF(ISNA(VLOOKUP(BW23,UitslagFig!$C$5:$K$251,1,FALSE)),"",VLOOKUP(BW23,UitslagFig!$C$5:$K$251,9,FALSE))</f>
        <v>0</v>
      </c>
      <c r="CS23" s="75">
        <f>IF(ISNA(VLOOKUP(BZ23,UitslagFig!$C$5:$K$251,1,FALSE)),"",VLOOKUP(BZ23,UitslagFig!$C$5:$K$251,9,FALSE))</f>
        <v>0</v>
      </c>
      <c r="CT23" s="75">
        <f>IF(ISNA(VLOOKUP(CC23,UitslagFig!$C$5:$K$251,1,FALSE)),"",VLOOKUP(CC23,UitslagFig!$C$5:$K$251,9,FALSE))</f>
        <v>0</v>
      </c>
      <c r="CU23" s="75">
        <f>IF(ISNA(VLOOKUP(CF23,UitslagFig!$C$5:$K$251,1,FALSE)),"",VLOOKUP(CF23,UitslagFig!$C$5:$K$251,9,FALSE))</f>
        <v>0</v>
      </c>
      <c r="CV23" s="75">
        <f>IF(ISNA(VLOOKUP(CI23,UitslagFig!$C$5:$K$251,1,FALSE)),"",VLOOKUP(CI23,UitslagFig!$C$5:$K$251,9,FALSE))</f>
        <v>0</v>
      </c>
      <c r="CW23" s="76">
        <f t="shared" si="37"/>
      </c>
      <c r="CX23" s="76">
        <f t="shared" si="38"/>
      </c>
      <c r="CY23" s="76">
        <f t="shared" si="39"/>
      </c>
      <c r="CZ23" s="76">
        <f t="shared" si="40"/>
      </c>
      <c r="DA23" s="76">
        <f t="shared" si="41"/>
      </c>
      <c r="DB23" s="76">
        <f t="shared" si="42"/>
      </c>
      <c r="DC23" s="76">
        <f t="shared" si="43"/>
      </c>
      <c r="DD23" s="76">
        <f t="shared" si="44"/>
      </c>
      <c r="DE23" s="76">
        <f t="shared" si="45"/>
      </c>
      <c r="DF23" s="76">
        <f t="shared" si="46"/>
      </c>
      <c r="DG23" s="76">
        <f t="shared" si="47"/>
        <v>0</v>
      </c>
      <c r="DH23" s="76">
        <f t="shared" si="48"/>
        <v>0</v>
      </c>
      <c r="DI23" s="77">
        <f t="shared" si="49"/>
      </c>
      <c r="DJ23" s="77">
        <f t="shared" si="50"/>
        <v>0</v>
      </c>
      <c r="DK23" s="78">
        <f>IF(DJ23&gt;0,IF(COUNT(CM23:CV23)&gt;=8,SUM(LARGE(CM23:CV23,{1;2;3;4;5;6;9;8}))/8,IF(COUNT(CM23:CV23)&gt;COUNT(CW23:DF23),(SUM(CM23:CV23)-MIN(CM23:CV23))/COUNT(CW23:DF23),AVERAGE(CW23:DF23))),0)</f>
        <v>0</v>
      </c>
      <c r="DL23" s="79">
        <f t="shared" si="51"/>
      </c>
      <c r="DM23" s="262"/>
    </row>
    <row r="24" spans="1:117" ht="12.75">
      <c r="A24" s="8">
        <v>20</v>
      </c>
      <c r="B24" s="24">
        <f t="shared" si="52"/>
        <v>4</v>
      </c>
      <c r="C24" s="44">
        <f t="shared" si="0"/>
        <v>0</v>
      </c>
      <c r="D24" s="45">
        <f>IF(ISNA(VLOOKUP($BH24,UitslagFig!$C$5:$K$251,1,FALSE)),"",VLOOKUP($BH24,UitslagFig!$C$5:$K$251,3,FALSE))</f>
        <v>0</v>
      </c>
      <c r="E24" s="48">
        <f>IF(ISNA(VLOOKUP($BH24,UitslagFig!$C$5:$K$251,1,FALSE)),"",VLOOKUP($BH24,UitslagFig!$C$5:$K$251,5,FALSE))</f>
        <v>0</v>
      </c>
      <c r="F24" s="48"/>
      <c r="G24" s="250">
        <f t="shared" si="1"/>
        <v>0</v>
      </c>
      <c r="H24" s="50">
        <f t="shared" si="2"/>
        <v>0</v>
      </c>
      <c r="I24" s="24">
        <f t="shared" si="3"/>
      </c>
      <c r="J24" s="51">
        <f t="shared" si="4"/>
        <v>0</v>
      </c>
      <c r="K24" s="24">
        <f t="shared" si="5"/>
      </c>
      <c r="L24" s="64"/>
      <c r="M24" s="65"/>
      <c r="N24" s="65"/>
      <c r="O24" s="65"/>
      <c r="P24" s="65"/>
      <c r="Q24" s="54">
        <f t="shared" si="6"/>
        <v>0</v>
      </c>
      <c r="R24" s="55">
        <f t="shared" si="7"/>
        <v>0</v>
      </c>
      <c r="S24" s="55">
        <f t="shared" si="8"/>
        <v>0</v>
      </c>
      <c r="T24" s="55">
        <f t="shared" si="9"/>
        <v>0</v>
      </c>
      <c r="U24" s="55">
        <f t="shared" si="10"/>
        <v>0</v>
      </c>
      <c r="V24" s="56">
        <f t="shared" si="11"/>
        <v>0</v>
      </c>
      <c r="W24" s="57">
        <f t="shared" si="12"/>
        <v>0</v>
      </c>
      <c r="X24" s="58">
        <f t="shared" si="13"/>
        <v>4</v>
      </c>
      <c r="Y24" s="64"/>
      <c r="Z24" s="65"/>
      <c r="AA24" s="65"/>
      <c r="AB24" s="65"/>
      <c r="AC24" s="65"/>
      <c r="AD24" s="59">
        <f t="shared" si="14"/>
        <v>0</v>
      </c>
      <c r="AE24" s="60">
        <f t="shared" si="15"/>
        <v>0</v>
      </c>
      <c r="AF24" s="60">
        <f t="shared" si="16"/>
        <v>0</v>
      </c>
      <c r="AG24" s="60">
        <f t="shared" si="17"/>
        <v>0</v>
      </c>
      <c r="AH24" s="60">
        <f t="shared" si="18"/>
        <v>0</v>
      </c>
      <c r="AI24" s="61">
        <f t="shared" si="19"/>
        <v>0</v>
      </c>
      <c r="AJ24" s="62">
        <f t="shared" si="20"/>
        <v>0</v>
      </c>
      <c r="AK24" s="63">
        <f t="shared" si="21"/>
        <v>4</v>
      </c>
      <c r="AL24" s="64"/>
      <c r="AM24" s="65"/>
      <c r="AN24" s="65"/>
      <c r="AO24" s="65"/>
      <c r="AP24" s="65"/>
      <c r="AQ24" s="66">
        <f t="shared" si="22"/>
        <v>0</v>
      </c>
      <c r="AR24" s="67">
        <f t="shared" si="23"/>
        <v>0</v>
      </c>
      <c r="AS24" s="67">
        <f t="shared" si="24"/>
        <v>0</v>
      </c>
      <c r="AT24" s="67">
        <f t="shared" si="25"/>
        <v>0</v>
      </c>
      <c r="AU24" s="67">
        <f t="shared" si="26"/>
        <v>0</v>
      </c>
      <c r="AV24" s="68">
        <f t="shared" si="27"/>
        <v>0</v>
      </c>
      <c r="AW24" s="69">
        <f t="shared" si="28"/>
        <v>0</v>
      </c>
      <c r="AX24" s="70">
        <f t="shared" si="29"/>
        <v>4</v>
      </c>
      <c r="AY24" s="71">
        <v>0</v>
      </c>
      <c r="AZ24" s="259">
        <f t="shared" si="30"/>
        <v>0</v>
      </c>
      <c r="BA24" s="72">
        <f t="shared" si="31"/>
        <v>0</v>
      </c>
      <c r="BB24" s="74">
        <f t="shared" si="32"/>
        <v>0</v>
      </c>
      <c r="BC24" s="74">
        <f t="shared" si="33"/>
        <v>0</v>
      </c>
      <c r="BD24" s="74">
        <f t="shared" si="34"/>
        <v>0</v>
      </c>
      <c r="BE24" s="74">
        <f t="shared" si="35"/>
        <v>0</v>
      </c>
      <c r="BF24" s="74">
        <f t="shared" si="36"/>
        <v>0</v>
      </c>
      <c r="BG24" s="75">
        <f>IF(ISNA(VLOOKUP(BH24,UitslagFig!$C$5:$K$251,1,FALSE)),"",VLOOKUP(BH24,UitslagFig!$C$5:$K$251,2,FALSE))</f>
        <v>0</v>
      </c>
      <c r="BH24" s="261"/>
      <c r="BI24" s="47"/>
      <c r="BJ24" s="75">
        <f>IF(ISNA(VLOOKUP(BK24,UitslagFig!$C$5:$K$251,1,FALSE)),"",VLOOKUP(BK24,UitslagFig!$C$5:$K$251,2,FALSE))</f>
        <v>0</v>
      </c>
      <c r="BK24" s="261"/>
      <c r="BL24" s="47"/>
      <c r="BM24" s="75">
        <f>IF(ISNA(VLOOKUP(BN24,UitslagFig!$C$5:$K$251,1,FALSE)),"",VLOOKUP(BN24,UitslagFig!$C$5:$K$251,2,FALSE))</f>
        <v>0</v>
      </c>
      <c r="BN24" s="261"/>
      <c r="BO24" s="47"/>
      <c r="BP24" s="75">
        <f>IF(ISNA(VLOOKUP(BQ24,UitslagFig!$C$5:$K$251,1,FALSE)),"",VLOOKUP(BQ24,UitslagFig!$C$5:$K$251,2,FALSE))</f>
        <v>0</v>
      </c>
      <c r="BQ24" s="261"/>
      <c r="BR24" s="47"/>
      <c r="BS24" s="75">
        <f>IF(ISNA(VLOOKUP(BT24,UitslagFig!$C$5:$K$251,1,FALSE)),"",VLOOKUP(BT24,UitslagFig!$C$5:$K$251,2,FALSE))</f>
        <v>0</v>
      </c>
      <c r="BT24" s="261"/>
      <c r="BU24" s="47"/>
      <c r="BV24" s="75">
        <f>IF(ISNA(VLOOKUP(BW24,UitslagFig!$C$5:$K$251,1,FALSE)),"",VLOOKUP(BW24,UitslagFig!$C$5:$K$251,2,FALSE))</f>
        <v>0</v>
      </c>
      <c r="BW24" s="261"/>
      <c r="BX24" s="47"/>
      <c r="BY24" s="75">
        <f>IF(ISNA(VLOOKUP(BZ24,UitslagFig!$C$5:$K$251,1,FALSE)),"",VLOOKUP(BZ24,UitslagFig!$C$5:$K$251,2,FALSE))</f>
        <v>0</v>
      </c>
      <c r="BZ24" s="261"/>
      <c r="CA24" s="47"/>
      <c r="CB24" s="75">
        <f>IF(ISNA(VLOOKUP(CC24,UitslagFig!$C$5:$K$251,1,FALSE)),"",VLOOKUP(CC24,UitslagFig!$C$5:$K$251,2,FALSE))</f>
        <v>0</v>
      </c>
      <c r="CC24" s="261"/>
      <c r="CD24" s="47"/>
      <c r="CE24" s="75">
        <f>IF(ISNA(VLOOKUP(CF24,UitslagFig!$C$5:$K$251,1,FALSE)),"",VLOOKUP(CF24,UitslagFig!$C$5:$K$251,2,FALSE))</f>
        <v>0</v>
      </c>
      <c r="CF24" s="261"/>
      <c r="CG24" s="47"/>
      <c r="CH24" s="75">
        <f>IF(ISNA(VLOOKUP(CI24,UitslagFig!$C$5:$K$251,1,FALSE)),"",VLOOKUP(CI24,UitslagFig!$C$5:$K$251,2,FALSE))</f>
        <v>0</v>
      </c>
      <c r="CI24" s="261"/>
      <c r="CJ24" s="47"/>
      <c r="CK24" s="263"/>
      <c r="CL24" s="263"/>
      <c r="CM24" s="75">
        <f>IF(ISNA(VLOOKUP(BH24,UitslagFig!$C$5:$K$251,1,FALSE)),"",VLOOKUP(BH24,UitslagFig!$C$5:$K$251,9,FALSE))</f>
        <v>0</v>
      </c>
      <c r="CN24" s="75">
        <f>IF(ISNA(VLOOKUP(BK24,UitslagFig!$C$5:$K$251,1,FALSE)),"",VLOOKUP(BK24,UitslagFig!$C$5:$K$251,9,FALSE))</f>
        <v>0</v>
      </c>
      <c r="CO24" s="75">
        <f>IF(ISNA(VLOOKUP(BN24,UitslagFig!$C$5:$K$251,1,FALSE)),"",VLOOKUP(BN24,UitslagFig!$C$5:$K$251,9,FALSE))</f>
        <v>0</v>
      </c>
      <c r="CP24" s="75">
        <f>IF(ISNA(VLOOKUP(BQ24,UitslagFig!$C$5:$K$251,1,FALSE)),"",VLOOKUP(BQ24,UitslagFig!$C$5:$K$251,9,FALSE))</f>
        <v>0</v>
      </c>
      <c r="CQ24" s="75">
        <f>IF(ISNA(VLOOKUP(BT24,UitslagFig!$C$5:$K$251,1,FALSE)),"",VLOOKUP(BT24,UitslagFig!$C$5:$K$251,9,FALSE))</f>
        <v>0</v>
      </c>
      <c r="CR24" s="75">
        <f>IF(ISNA(VLOOKUP(BW24,UitslagFig!$C$5:$K$251,1,FALSE)),"",VLOOKUP(BW24,UitslagFig!$C$5:$K$251,9,FALSE))</f>
        <v>0</v>
      </c>
      <c r="CS24" s="75">
        <f>IF(ISNA(VLOOKUP(BZ24,UitslagFig!$C$5:$K$251,1,FALSE)),"",VLOOKUP(BZ24,UitslagFig!$C$5:$K$251,9,FALSE))</f>
        <v>0</v>
      </c>
      <c r="CT24" s="75">
        <f>IF(ISNA(VLOOKUP(CC24,UitslagFig!$C$5:$K$251,1,FALSE)),"",VLOOKUP(CC24,UitslagFig!$C$5:$K$251,9,FALSE))</f>
        <v>0</v>
      </c>
      <c r="CU24" s="75">
        <f>IF(ISNA(VLOOKUP(CF24,UitslagFig!$C$5:$K$251,1,FALSE)),"",VLOOKUP(CF24,UitslagFig!$C$5:$K$251,9,FALSE))</f>
        <v>0</v>
      </c>
      <c r="CV24" s="75">
        <f>IF(ISNA(VLOOKUP(CI24,UitslagFig!$C$5:$K$251,1,FALSE)),"",VLOOKUP(CI24,UitslagFig!$C$5:$K$251,9,FALSE))</f>
        <v>0</v>
      </c>
      <c r="CW24" s="76">
        <f t="shared" si="37"/>
      </c>
      <c r="CX24" s="76">
        <f t="shared" si="38"/>
      </c>
      <c r="CY24" s="76">
        <f t="shared" si="39"/>
      </c>
      <c r="CZ24" s="76">
        <f t="shared" si="40"/>
      </c>
      <c r="DA24" s="76">
        <f t="shared" si="41"/>
      </c>
      <c r="DB24" s="76">
        <f t="shared" si="42"/>
      </c>
      <c r="DC24" s="76">
        <f t="shared" si="43"/>
      </c>
      <c r="DD24" s="76">
        <f t="shared" si="44"/>
      </c>
      <c r="DE24" s="76">
        <f t="shared" si="45"/>
      </c>
      <c r="DF24" s="76">
        <f t="shared" si="46"/>
      </c>
      <c r="DG24" s="76">
        <f t="shared" si="47"/>
        <v>0</v>
      </c>
      <c r="DH24" s="76">
        <f t="shared" si="48"/>
        <v>0</v>
      </c>
      <c r="DI24" s="77">
        <f t="shared" si="49"/>
      </c>
      <c r="DJ24" s="77">
        <f t="shared" si="50"/>
        <v>0</v>
      </c>
      <c r="DK24" s="78">
        <f>IF(DJ24&gt;0,IF(COUNT(CM24:CV24)&gt;=8,SUM(LARGE(CM24:CV24,{1;2;3;4;5;6;9;8}))/8,IF(COUNT(CM24:CV24)&gt;COUNT(CW24:DF24),(SUM(CM24:CV24)-MIN(CM24:CV24))/COUNT(CW24:DF24),AVERAGE(CW24:DF24))),0)</f>
        <v>0</v>
      </c>
      <c r="DL24" s="79">
        <f t="shared" si="51"/>
      </c>
      <c r="DM24" s="262"/>
    </row>
  </sheetData>
  <sheetProtection selectLockedCells="1" selectUnlockedCells="1"/>
  <mergeCells count="20">
    <mergeCell ref="BS3:BU3"/>
    <mergeCell ref="L2:X2"/>
    <mergeCell ref="Y2:AK2"/>
    <mergeCell ref="AL2:AX2"/>
    <mergeCell ref="E3:I3"/>
    <mergeCell ref="L3:P3"/>
    <mergeCell ref="Q3:W3"/>
    <mergeCell ref="Y3:AC3"/>
    <mergeCell ref="AD3:AJ3"/>
    <mergeCell ref="AL3:AP3"/>
    <mergeCell ref="BV3:BX3"/>
    <mergeCell ref="BY3:CA3"/>
    <mergeCell ref="CB3:CD3"/>
    <mergeCell ref="CE3:CG3"/>
    <mergeCell ref="CH3:CJ3"/>
    <mergeCell ref="AY3:BA3"/>
    <mergeCell ref="BG3:BI3"/>
    <mergeCell ref="BJ3:BL3"/>
    <mergeCell ref="BM3:BO3"/>
    <mergeCell ref="BP3:BR3"/>
  </mergeCells>
  <conditionalFormatting sqref="G5:G24">
    <cfRule type="cellIs" priority="1" dxfId="3" operator="lessThan" stopIfTrue="1">
      <formula>4</formula>
    </cfRule>
    <cfRule type="cellIs" priority="2" dxfId="17" operator="greaterThan" stopIfTrue="1">
      <formula>8</formula>
    </cfRule>
  </conditionalFormatting>
  <dataValidations count="1">
    <dataValidation type="list" allowBlank="1" showInputMessage="1" showErrorMessage="1" promptTitle="Deelneemster zwemt?" prompt="Zwemster = x&#10;Reserve = Res&#10;Afgemeld = Afm." errorTitle="Deelneemster zwemt?" error="Invoer moet zijn x of Afm  of Res" sqref="BI5:BI24 BL5:BL24 BO5:BO24 BR5:BR24 BU5:BU24 BX5:BX24 CA5:CA24 CD5:CD24 CG5:CG24 CJ5:CJ24">
      <formula1>$BF$1:$BF$3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Rianne</dc:creator>
  <cp:keywords/>
  <dc:description/>
  <cp:lastModifiedBy>Rianne</cp:lastModifiedBy>
  <dcterms:created xsi:type="dcterms:W3CDTF">2014-06-16T12:46:04Z</dcterms:created>
  <dcterms:modified xsi:type="dcterms:W3CDTF">2014-06-19T07:48:29Z</dcterms:modified>
  <cp:category/>
  <cp:version/>
  <cp:contentType/>
  <cp:contentStatus/>
</cp:coreProperties>
</file>